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ES Personal Files\Brad Personal Files\Church\DSO Budget Committee\2025\BC Communications\"/>
    </mc:Choice>
  </mc:AlternateContent>
  <xr:revisionPtr revIDLastSave="0" documentId="13_ncr:1_{F76291C6-9CF0-404D-9B39-2029177EF55F}" xr6:coauthVersionLast="47" xr6:coauthVersionMax="47" xr10:uidLastSave="{00000000-0000-0000-0000-000000000000}"/>
  <bookViews>
    <workbookView xWindow="-120" yWindow="-120" windowWidth="29040" windowHeight="15720" activeTab="1" xr2:uid="{AFADF9A5-9E3E-4C58-9769-D168271B112F}"/>
  </bookViews>
  <sheets>
    <sheet name="DSO staff consolidated " sheetId="2" r:id="rId1"/>
    <sheet name="Sheet1" sheetId="5" r:id="rId2"/>
    <sheet name="Graphs" sheetId="4" r:id="rId3"/>
  </sheets>
  <definedNames>
    <definedName name="_xlnm.Print_Area" localSheetId="0">'DSO staff consolidated '!$A$2:$W$789</definedName>
    <definedName name="_xlnm.Print_Titles" localSheetId="0">'DSO staff consolidated 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5" l="1"/>
  <c r="K91" i="5"/>
  <c r="N86" i="5"/>
  <c r="N85" i="5"/>
  <c r="N84" i="5"/>
  <c r="N83" i="5"/>
  <c r="K87" i="5"/>
  <c r="M75" i="5" l="1"/>
  <c r="K59" i="5"/>
  <c r="G206" i="2"/>
  <c r="D15" i="4"/>
  <c r="F49" i="2"/>
  <c r="C9" i="4" s="1"/>
  <c r="D62" i="4"/>
  <c r="D55" i="4"/>
  <c r="C55" i="4"/>
  <c r="D49" i="2"/>
  <c r="C7" i="4" s="1"/>
  <c r="D37" i="4"/>
  <c r="C37" i="4"/>
  <c r="D10" i="4"/>
  <c r="C10" i="4"/>
  <c r="D9" i="4"/>
  <c r="D8" i="4"/>
  <c r="D7" i="4"/>
  <c r="C8" i="4"/>
  <c r="N87" i="5"/>
  <c r="K90" i="5"/>
  <c r="K73" i="5"/>
  <c r="K69" i="5"/>
  <c r="K51" i="5"/>
  <c r="K56" i="2"/>
  <c r="K52" i="2"/>
  <c r="I56" i="2"/>
  <c r="I45" i="2"/>
  <c r="F11" i="2"/>
  <c r="D15" i="2"/>
  <c r="D578" i="2"/>
  <c r="E578" i="2"/>
  <c r="E543" i="2"/>
  <c r="D32" i="5"/>
  <c r="D31" i="5"/>
  <c r="G60" i="2"/>
  <c r="R4" i="5"/>
  <c r="M20" i="5"/>
  <c r="M19" i="5"/>
  <c r="M18" i="5"/>
  <c r="M17" i="5"/>
  <c r="M16" i="5"/>
  <c r="M15" i="5"/>
  <c r="M14" i="5"/>
  <c r="M13" i="5"/>
  <c r="M12" i="5"/>
  <c r="L12" i="5" s="1"/>
  <c r="M11" i="5"/>
  <c r="M10" i="5"/>
  <c r="M9" i="5"/>
  <c r="M8" i="5"/>
  <c r="M7" i="5"/>
  <c r="M6" i="5"/>
  <c r="M5" i="5"/>
  <c r="L5" i="5" s="1"/>
  <c r="M4" i="5"/>
  <c r="L4" i="5" s="1"/>
  <c r="I20" i="5"/>
  <c r="J20" i="5" s="1"/>
  <c r="K20" i="5" s="1"/>
  <c r="I19" i="5"/>
  <c r="J19" i="5" s="1"/>
  <c r="K19" i="5" s="1"/>
  <c r="I18" i="5"/>
  <c r="J18" i="5" s="1"/>
  <c r="K18" i="5" s="1"/>
  <c r="I17" i="5"/>
  <c r="J17" i="5" s="1"/>
  <c r="K17" i="5" s="1"/>
  <c r="I16" i="5"/>
  <c r="J16" i="5" s="1"/>
  <c r="K16" i="5" s="1"/>
  <c r="I15" i="5"/>
  <c r="J15" i="5" s="1"/>
  <c r="K15" i="5" s="1"/>
  <c r="I14" i="5"/>
  <c r="J14" i="5" s="1"/>
  <c r="K14" i="5" s="1"/>
  <c r="I13" i="5"/>
  <c r="J13" i="5" s="1"/>
  <c r="K13" i="5" s="1"/>
  <c r="I12" i="5"/>
  <c r="J12" i="5" s="1"/>
  <c r="K12" i="5" s="1"/>
  <c r="I11" i="5"/>
  <c r="J11" i="5" s="1"/>
  <c r="I10" i="5"/>
  <c r="J10" i="5" s="1"/>
  <c r="I9" i="5"/>
  <c r="J9" i="5" s="1"/>
  <c r="K9" i="5" s="1"/>
  <c r="I8" i="5"/>
  <c r="J8" i="5" s="1"/>
  <c r="I7" i="5"/>
  <c r="J7" i="5" s="1"/>
  <c r="I6" i="5"/>
  <c r="J6" i="5" s="1"/>
  <c r="K6" i="5" s="1"/>
  <c r="I5" i="5"/>
  <c r="J5" i="5" s="1"/>
  <c r="K5" i="5" s="1"/>
  <c r="I4" i="5"/>
  <c r="O21" i="5"/>
  <c r="P20" i="5"/>
  <c r="P19" i="5"/>
  <c r="P18" i="5"/>
  <c r="P17" i="5"/>
  <c r="P16" i="5"/>
  <c r="P15" i="5"/>
  <c r="P14" i="5"/>
  <c r="P13" i="5"/>
  <c r="P12" i="5"/>
  <c r="P9" i="5"/>
  <c r="P7" i="5"/>
  <c r="P6" i="5"/>
  <c r="P5" i="5"/>
  <c r="P4" i="5"/>
  <c r="N21" i="5"/>
  <c r="D6" i="5"/>
  <c r="R19" i="5"/>
  <c r="G21" i="5"/>
  <c r="E21" i="5"/>
  <c r="F18" i="5"/>
  <c r="F21" i="5" s="1"/>
  <c r="R9" i="5"/>
  <c r="R10" i="5"/>
  <c r="R12" i="5"/>
  <c r="R13" i="5"/>
  <c r="R14" i="5"/>
  <c r="R15" i="5"/>
  <c r="K89" i="5" l="1"/>
  <c r="D12" i="4"/>
  <c r="C12" i="4"/>
  <c r="L21" i="5"/>
  <c r="I21" i="5"/>
  <c r="M21" i="5"/>
  <c r="J4" i="5"/>
  <c r="P21" i="5"/>
  <c r="R21" i="5"/>
  <c r="U21" i="5" s="1"/>
  <c r="K485" i="2"/>
  <c r="K484" i="2"/>
  <c r="K483" i="2"/>
  <c r="K482" i="2"/>
  <c r="E496" i="2"/>
  <c r="E495" i="2"/>
  <c r="E494" i="2"/>
  <c r="F495" i="2"/>
  <c r="F494" i="2"/>
  <c r="F493" i="2"/>
  <c r="E493" i="2"/>
  <c r="K449" i="2"/>
  <c r="K445" i="2"/>
  <c r="M151" i="2"/>
  <c r="K8" i="2"/>
  <c r="E252" i="2"/>
  <c r="D252" i="2"/>
  <c r="D165" i="2"/>
  <c r="E240" i="2"/>
  <c r="D304" i="2"/>
  <c r="X129" i="2"/>
  <c r="Y129" i="2" s="1"/>
  <c r="W128" i="2"/>
  <c r="X128" i="2" s="1"/>
  <c r="Y128" i="2" s="1"/>
  <c r="Y130" i="2" s="1"/>
  <c r="D139" i="2" s="1"/>
  <c r="D151" i="2" s="1"/>
  <c r="E191" i="2"/>
  <c r="D80" i="2"/>
  <c r="E504" i="2"/>
  <c r="F511" i="2"/>
  <c r="E506" i="2"/>
  <c r="E579" i="2"/>
  <c r="E511" i="2" l="1"/>
  <c r="K4" i="5"/>
  <c r="K21" i="5" s="1"/>
  <c r="J21" i="5"/>
  <c r="X130" i="2"/>
  <c r="A805" i="2"/>
  <c r="A806" i="2"/>
  <c r="A807" i="2"/>
  <c r="A808" i="2"/>
  <c r="A809" i="2"/>
  <c r="A810" i="2"/>
  <c r="O379" i="2"/>
  <c r="N379" i="2"/>
  <c r="M379" i="2"/>
  <c r="O49" i="2"/>
  <c r="O225" i="2"/>
  <c r="N225" i="2"/>
  <c r="O151" i="2"/>
  <c r="N151" i="2"/>
  <c r="O77" i="2"/>
  <c r="O511" i="2"/>
  <c r="N511" i="2"/>
  <c r="M511" i="2"/>
  <c r="O499" i="2"/>
  <c r="N499" i="2"/>
  <c r="M499" i="2"/>
  <c r="F499" i="2"/>
  <c r="D499" i="2"/>
  <c r="F473" i="2"/>
  <c r="D347" i="2"/>
  <c r="O696" i="2"/>
  <c r="N696" i="2"/>
  <c r="M696" i="2"/>
  <c r="F696" i="2"/>
  <c r="E696" i="2"/>
  <c r="D696" i="2"/>
  <c r="O313" i="2"/>
  <c r="N313" i="2"/>
  <c r="M313" i="2"/>
  <c r="F313" i="2"/>
  <c r="E313" i="2"/>
  <c r="O299" i="2"/>
  <c r="N299" i="2"/>
  <c r="M299" i="2"/>
  <c r="F299" i="2"/>
  <c r="D299" i="2"/>
  <c r="E299" i="2"/>
  <c r="O446" i="2"/>
  <c r="N446" i="2"/>
  <c r="M446" i="2"/>
  <c r="F446" i="2"/>
  <c r="D446" i="2"/>
  <c r="E446" i="2"/>
  <c r="O291" i="2"/>
  <c r="N291" i="2"/>
  <c r="M291" i="2"/>
  <c r="F291" i="2"/>
  <c r="D291" i="2"/>
  <c r="O397" i="2"/>
  <c r="N397" i="2"/>
  <c r="M397" i="2"/>
  <c r="F397" i="2"/>
  <c r="D397" i="2"/>
  <c r="O275" i="2"/>
  <c r="N275" i="2"/>
  <c r="M275" i="2"/>
  <c r="F275" i="2"/>
  <c r="D275" i="2"/>
  <c r="M264" i="2"/>
  <c r="F264" i="2"/>
  <c r="F379" i="2"/>
  <c r="D379" i="2"/>
  <c r="E379" i="2"/>
  <c r="O347" i="2"/>
  <c r="N347" i="2"/>
  <c r="M347" i="2"/>
  <c r="F347" i="2"/>
  <c r="E347" i="2"/>
  <c r="O249" i="2"/>
  <c r="N249" i="2"/>
  <c r="M249" i="2"/>
  <c r="L249" i="2"/>
  <c r="F249" i="2"/>
  <c r="D249" i="2"/>
  <c r="P151" i="2" l="1"/>
  <c r="D260" i="2"/>
  <c r="D264" i="2" s="1"/>
  <c r="E499" i="2"/>
  <c r="E546" i="2" l="1"/>
  <c r="E538" i="2"/>
  <c r="D191" i="2"/>
  <c r="G140" i="2"/>
  <c r="E52" i="2"/>
  <c r="G496" i="2"/>
  <c r="G495" i="2"/>
  <c r="G494" i="2"/>
  <c r="G488" i="2"/>
  <c r="K488" i="2" s="1"/>
  <c r="G487" i="2"/>
  <c r="K487" i="2" s="1"/>
  <c r="G486" i="2"/>
  <c r="K486" i="2" s="1"/>
  <c r="G471" i="2"/>
  <c r="K471" i="2" s="1"/>
  <c r="G263" i="2"/>
  <c r="G262" i="2"/>
  <c r="G261" i="2"/>
  <c r="G260" i="2"/>
  <c r="G259" i="2"/>
  <c r="G258" i="2"/>
  <c r="G257" i="2"/>
  <c r="G256" i="2"/>
  <c r="G255" i="2"/>
  <c r="G254" i="2"/>
  <c r="G253" i="2"/>
  <c r="D651" i="2"/>
  <c r="G252" i="2" l="1"/>
  <c r="G264" i="2" s="1"/>
  <c r="E264" i="2"/>
  <c r="D650" i="2"/>
  <c r="P144" i="2"/>
  <c r="E590" i="2"/>
  <c r="G144" i="2" l="1"/>
  <c r="K144" i="2" s="1"/>
  <c r="E396" i="2" l="1"/>
  <c r="E269" i="2"/>
  <c r="E268" i="2"/>
  <c r="E275" i="2" l="1"/>
  <c r="D4" i="2"/>
  <c r="D65" i="2"/>
  <c r="D9" i="5" l="1"/>
  <c r="F100" i="2"/>
  <c r="F139" i="2"/>
  <c r="E139" i="2"/>
  <c r="E151" i="2" s="1"/>
  <c r="D133" i="2"/>
  <c r="D131" i="2"/>
  <c r="D127" i="2"/>
  <c r="F151" i="2" l="1"/>
  <c r="D84" i="2"/>
  <c r="M100" i="2"/>
  <c r="D88" i="2"/>
  <c r="D86" i="2"/>
  <c r="D85" i="2"/>
  <c r="D82" i="2"/>
  <c r="D100" i="2" l="1"/>
  <c r="E285" i="2" l="1"/>
  <c r="E284" i="2"/>
  <c r="E280" i="2"/>
  <c r="E278" i="2"/>
  <c r="D307" i="2"/>
  <c r="D306" i="2"/>
  <c r="D305" i="2"/>
  <c r="D303" i="2"/>
  <c r="D302" i="2"/>
  <c r="E243" i="2"/>
  <c r="E242" i="2"/>
  <c r="E241" i="2"/>
  <c r="E238" i="2"/>
  <c r="E236" i="2"/>
  <c r="E291" i="2" l="1"/>
  <c r="D313" i="2"/>
  <c r="E249" i="2"/>
  <c r="G416" i="2"/>
  <c r="G415" i="2"/>
  <c r="K415" i="2" s="1"/>
  <c r="D23" i="2" l="1"/>
  <c r="F572" i="2" l="1"/>
  <c r="F575" i="2" s="1"/>
  <c r="D168" i="2"/>
  <c r="D167" i="2"/>
  <c r="D166" i="2"/>
  <c r="D164" i="2"/>
  <c r="D163" i="2"/>
  <c r="D162" i="2"/>
  <c r="E628" i="2"/>
  <c r="G627" i="2"/>
  <c r="K627" i="2" s="1"/>
  <c r="G36" i="2"/>
  <c r="K36" i="2" s="1"/>
  <c r="E390" i="2" l="1"/>
  <c r="E397" i="2" s="1"/>
  <c r="G580" i="2" l="1"/>
  <c r="K580" i="2" s="1"/>
  <c r="G773" i="2"/>
  <c r="K773" i="2" s="1"/>
  <c r="D136" i="2"/>
  <c r="G138" i="2"/>
  <c r="G137" i="2"/>
  <c r="G135" i="2"/>
  <c r="G134" i="2"/>
  <c r="G133" i="2"/>
  <c r="G132" i="2"/>
  <c r="G131" i="2"/>
  <c r="G130" i="2"/>
  <c r="G129" i="2"/>
  <c r="G128" i="2"/>
  <c r="G127" i="2"/>
  <c r="D739" i="2"/>
  <c r="G709" i="2"/>
  <c r="G708" i="2"/>
  <c r="G707" i="2"/>
  <c r="G706" i="2"/>
  <c r="G705" i="2"/>
  <c r="G704" i="2"/>
  <c r="G703" i="2"/>
  <c r="G702" i="2"/>
  <c r="G701" i="2"/>
  <c r="G700" i="2"/>
  <c r="G699" i="2"/>
  <c r="G718" i="2"/>
  <c r="K718" i="2" s="1"/>
  <c r="G712" i="2"/>
  <c r="G711" i="2"/>
  <c r="G710" i="2"/>
  <c r="E473" i="2"/>
  <c r="G469" i="2"/>
  <c r="G468" i="2"/>
  <c r="G467" i="2"/>
  <c r="D473" i="2" l="1"/>
  <c r="G136" i="2"/>
  <c r="G470" i="2"/>
  <c r="G395" i="2"/>
  <c r="K395" i="2" s="1"/>
  <c r="G394" i="2"/>
  <c r="G393" i="2"/>
  <c r="K393" i="2" s="1"/>
  <c r="G392" i="2"/>
  <c r="K392" i="2" s="1"/>
  <c r="G391" i="2"/>
  <c r="K391" i="2" s="1"/>
  <c r="G270" i="2"/>
  <c r="G274" i="2"/>
  <c r="K274" i="2" s="1"/>
  <c r="G273" i="2"/>
  <c r="K273" i="2" s="1"/>
  <c r="G272" i="2"/>
  <c r="K272" i="2" s="1"/>
  <c r="V269" i="2"/>
  <c r="V268" i="2"/>
  <c r="G221" i="2"/>
  <c r="G220" i="2"/>
  <c r="G219" i="2"/>
  <c r="G217" i="2"/>
  <c r="F225" i="2"/>
  <c r="E225" i="2"/>
  <c r="D225" i="2"/>
  <c r="F638" i="2"/>
  <c r="E638" i="2"/>
  <c r="D638" i="2"/>
  <c r="M638" i="2"/>
  <c r="G637" i="2"/>
  <c r="K637" i="2" s="1"/>
  <c r="G636" i="2"/>
  <c r="G635" i="2"/>
  <c r="G634" i="2"/>
  <c r="G633" i="2"/>
  <c r="G632" i="2"/>
  <c r="G631" i="2"/>
  <c r="G396" i="2" l="1"/>
  <c r="G638" i="2"/>
  <c r="G779" i="2"/>
  <c r="G778" i="2"/>
  <c r="G777" i="2"/>
  <c r="G776" i="2"/>
  <c r="G775" i="2"/>
  <c r="G774" i="2"/>
  <c r="G772" i="2"/>
  <c r="G771" i="2"/>
  <c r="G770" i="2"/>
  <c r="G769" i="2"/>
  <c r="G768" i="2"/>
  <c r="F782" i="2"/>
  <c r="E782" i="2"/>
  <c r="D782" i="2"/>
  <c r="M782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7" i="2"/>
  <c r="G716" i="2"/>
  <c r="G715" i="2"/>
  <c r="G714" i="2"/>
  <c r="G713" i="2"/>
  <c r="F739" i="2"/>
  <c r="E739" i="2"/>
  <c r="F628" i="2"/>
  <c r="D628" i="2"/>
  <c r="G626" i="2"/>
  <c r="G625" i="2"/>
  <c r="G624" i="2"/>
  <c r="G623" i="2"/>
  <c r="K623" i="2" s="1"/>
  <c r="G622" i="2"/>
  <c r="G618" i="2"/>
  <c r="G617" i="2"/>
  <c r="G616" i="2"/>
  <c r="G615" i="2"/>
  <c r="F619" i="2"/>
  <c r="E619" i="2"/>
  <c r="D619" i="2"/>
  <c r="D54" i="2"/>
  <c r="F610" i="2"/>
  <c r="E610" i="2"/>
  <c r="D610" i="2"/>
  <c r="M610" i="2"/>
  <c r="G609" i="2"/>
  <c r="G608" i="2"/>
  <c r="G607" i="2"/>
  <c r="G606" i="2"/>
  <c r="G605" i="2"/>
  <c r="G604" i="2"/>
  <c r="G603" i="2"/>
  <c r="G602" i="2"/>
  <c r="G601" i="2"/>
  <c r="G600" i="2"/>
  <c r="G599" i="2"/>
  <c r="F596" i="2"/>
  <c r="E596" i="2"/>
  <c r="D596" i="2"/>
  <c r="G595" i="2"/>
  <c r="G594" i="2"/>
  <c r="G593" i="2"/>
  <c r="G592" i="2"/>
  <c r="G591" i="2"/>
  <c r="K591" i="2" s="1"/>
  <c r="G590" i="2"/>
  <c r="F583" i="2"/>
  <c r="E583" i="2"/>
  <c r="D583" i="2"/>
  <c r="G582" i="2"/>
  <c r="G581" i="2"/>
  <c r="G579" i="2"/>
  <c r="G578" i="2"/>
  <c r="G573" i="2"/>
  <c r="E575" i="2"/>
  <c r="D575" i="2"/>
  <c r="M575" i="2"/>
  <c r="G574" i="2"/>
  <c r="G572" i="2"/>
  <c r="G571" i="2"/>
  <c r="G570" i="2"/>
  <c r="K570" i="2" s="1"/>
  <c r="G569" i="2"/>
  <c r="F566" i="2"/>
  <c r="E566" i="2"/>
  <c r="D566" i="2"/>
  <c r="M566" i="2"/>
  <c r="G565" i="2"/>
  <c r="G564" i="2"/>
  <c r="G563" i="2"/>
  <c r="G562" i="2"/>
  <c r="G561" i="2"/>
  <c r="G560" i="2"/>
  <c r="G554" i="2"/>
  <c r="G553" i="2"/>
  <c r="G547" i="2"/>
  <c r="F555" i="2"/>
  <c r="E555" i="2"/>
  <c r="D555" i="2"/>
  <c r="M555" i="2"/>
  <c r="G517" i="2"/>
  <c r="K517" i="2" s="1"/>
  <c r="G583" i="2" l="1"/>
  <c r="F612" i="2"/>
  <c r="E612" i="2"/>
  <c r="G566" i="2"/>
  <c r="G782" i="2"/>
  <c r="G596" i="2"/>
  <c r="G628" i="2"/>
  <c r="D612" i="2"/>
  <c r="G575" i="2"/>
  <c r="G739" i="2"/>
  <c r="G610" i="2"/>
  <c r="G619" i="2"/>
  <c r="G555" i="2"/>
  <c r="G612" i="2" l="1"/>
  <c r="G549" i="2"/>
  <c r="G548" i="2"/>
  <c r="G546" i="2"/>
  <c r="G545" i="2"/>
  <c r="G544" i="2"/>
  <c r="G543" i="2"/>
  <c r="G542" i="2"/>
  <c r="G540" i="2"/>
  <c r="G539" i="2"/>
  <c r="G538" i="2"/>
  <c r="G528" i="2"/>
  <c r="F550" i="2"/>
  <c r="D550" i="2"/>
  <c r="M550" i="2"/>
  <c r="G296" i="2"/>
  <c r="G493" i="2"/>
  <c r="G491" i="2"/>
  <c r="G490" i="2"/>
  <c r="G489" i="2"/>
  <c r="G298" i="2"/>
  <c r="G297" i="2"/>
  <c r="G295" i="2"/>
  <c r="G481" i="2"/>
  <c r="G480" i="2"/>
  <c r="G479" i="2"/>
  <c r="G478" i="2"/>
  <c r="G477" i="2"/>
  <c r="G476" i="2"/>
  <c r="G294" i="2"/>
  <c r="G466" i="2"/>
  <c r="K466" i="2" s="1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K453" i="2" s="1"/>
  <c r="G452" i="2"/>
  <c r="K452" i="2" s="1"/>
  <c r="G451" i="2"/>
  <c r="K451" i="2" s="1"/>
  <c r="G450" i="2"/>
  <c r="K450" i="2" s="1"/>
  <c r="M473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K279" i="2" s="1"/>
  <c r="G278" i="2"/>
  <c r="G414" i="2"/>
  <c r="G413" i="2"/>
  <c r="G412" i="2"/>
  <c r="G411" i="2"/>
  <c r="F417" i="2"/>
  <c r="E417" i="2"/>
  <c r="D417" i="2"/>
  <c r="M417" i="2"/>
  <c r="G407" i="2"/>
  <c r="G406" i="2"/>
  <c r="G405" i="2"/>
  <c r="G404" i="2"/>
  <c r="G403" i="2"/>
  <c r="G402" i="2"/>
  <c r="G401" i="2"/>
  <c r="G400" i="2"/>
  <c r="F408" i="2"/>
  <c r="E408" i="2"/>
  <c r="D408" i="2"/>
  <c r="G390" i="2"/>
  <c r="G271" i="2"/>
  <c r="G269" i="2"/>
  <c r="G268" i="2"/>
  <c r="G267" i="2"/>
  <c r="G378" i="2"/>
  <c r="G376" i="2"/>
  <c r="G375" i="2"/>
  <c r="G374" i="2"/>
  <c r="G373" i="2"/>
  <c r="G372" i="2"/>
  <c r="F356" i="2"/>
  <c r="D356" i="2"/>
  <c r="G355" i="2"/>
  <c r="K355" i="2" s="1"/>
  <c r="G354" i="2"/>
  <c r="K354" i="2" s="1"/>
  <c r="G353" i="2"/>
  <c r="K353" i="2" s="1"/>
  <c r="G352" i="2"/>
  <c r="K352" i="2" s="1"/>
  <c r="G351" i="2"/>
  <c r="K351" i="2" s="1"/>
  <c r="G350" i="2"/>
  <c r="K350" i="2" s="1"/>
  <c r="E356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248" i="2"/>
  <c r="G247" i="2"/>
  <c r="G246" i="2"/>
  <c r="G245" i="2"/>
  <c r="G244" i="2"/>
  <c r="G326" i="2"/>
  <c r="G243" i="2"/>
  <c r="G242" i="2"/>
  <c r="G241" i="2"/>
  <c r="G240" i="2"/>
  <c r="G239" i="2"/>
  <c r="G238" i="2"/>
  <c r="G237" i="2"/>
  <c r="G236" i="2"/>
  <c r="D765" i="2"/>
  <c r="M765" i="2"/>
  <c r="G694" i="2"/>
  <c r="G693" i="2"/>
  <c r="K693" i="2" s="1"/>
  <c r="G692" i="2"/>
  <c r="G691" i="2"/>
  <c r="G690" i="2"/>
  <c r="G689" i="2"/>
  <c r="G688" i="2"/>
  <c r="G687" i="2"/>
  <c r="G312" i="2"/>
  <c r="G311" i="2"/>
  <c r="G310" i="2"/>
  <c r="G309" i="2"/>
  <c r="G308" i="2"/>
  <c r="G307" i="2"/>
  <c r="G306" i="2"/>
  <c r="G305" i="2"/>
  <c r="G304" i="2"/>
  <c r="G303" i="2"/>
  <c r="G686" i="2"/>
  <c r="G302" i="2"/>
  <c r="G651" i="2"/>
  <c r="G650" i="2"/>
  <c r="G647" i="2"/>
  <c r="G646" i="2"/>
  <c r="G645" i="2"/>
  <c r="G642" i="2"/>
  <c r="G641" i="2"/>
  <c r="P693" i="2"/>
  <c r="P691" i="2"/>
  <c r="G534" i="2"/>
  <c r="K534" i="2" s="1"/>
  <c r="G533" i="2"/>
  <c r="K533" i="2" s="1"/>
  <c r="G532" i="2"/>
  <c r="K532" i="2" s="1"/>
  <c r="G531" i="2"/>
  <c r="K531" i="2" s="1"/>
  <c r="G530" i="2"/>
  <c r="K530" i="2" s="1"/>
  <c r="G529" i="2"/>
  <c r="G527" i="2"/>
  <c r="G526" i="2"/>
  <c r="F535" i="2"/>
  <c r="E535" i="2"/>
  <c r="D535" i="2"/>
  <c r="O535" i="2"/>
  <c r="N535" i="2"/>
  <c r="M535" i="2"/>
  <c r="D511" i="2"/>
  <c r="G510" i="2"/>
  <c r="G509" i="2"/>
  <c r="G508" i="2"/>
  <c r="G507" i="2"/>
  <c r="G506" i="2"/>
  <c r="G505" i="2"/>
  <c r="G504" i="2"/>
  <c r="K691" i="2" l="1"/>
  <c r="K356" i="2"/>
  <c r="G397" i="2"/>
  <c r="C59" i="4"/>
  <c r="C41" i="4"/>
  <c r="G379" i="2"/>
  <c r="G499" i="2"/>
  <c r="G696" i="2"/>
  <c r="G299" i="2"/>
  <c r="G313" i="2"/>
  <c r="G291" i="2"/>
  <c r="G446" i="2"/>
  <c r="G275" i="2"/>
  <c r="G347" i="2"/>
  <c r="G249" i="2"/>
  <c r="E541" i="2"/>
  <c r="G541" i="2" s="1"/>
  <c r="G550" i="2" s="1"/>
  <c r="F765" i="2"/>
  <c r="G356" i="2"/>
  <c r="G408" i="2"/>
  <c r="G417" i="2"/>
  <c r="G473" i="2"/>
  <c r="E765" i="2"/>
  <c r="G535" i="2"/>
  <c r="G511" i="2"/>
  <c r="G518" i="2"/>
  <c r="K518" i="2" s="1"/>
  <c r="G522" i="2"/>
  <c r="G521" i="2"/>
  <c r="G520" i="2"/>
  <c r="G519" i="2"/>
  <c r="F523" i="2"/>
  <c r="F557" i="2" s="1"/>
  <c r="D523" i="2"/>
  <c r="D557" i="2" s="1"/>
  <c r="M523" i="2"/>
  <c r="M557" i="2" s="1"/>
  <c r="E523" i="2"/>
  <c r="E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123" i="2"/>
  <c r="G122" i="2"/>
  <c r="G121" i="2"/>
  <c r="G120" i="2"/>
  <c r="G119" i="2"/>
  <c r="G118" i="2"/>
  <c r="G117" i="2"/>
  <c r="G116" i="2"/>
  <c r="G150" i="2"/>
  <c r="G149" i="2"/>
  <c r="G148" i="2"/>
  <c r="G147" i="2"/>
  <c r="G146" i="2"/>
  <c r="G145" i="2"/>
  <c r="G143" i="2"/>
  <c r="G142" i="2"/>
  <c r="G141" i="2"/>
  <c r="G157" i="2"/>
  <c r="G156" i="2"/>
  <c r="G155" i="2"/>
  <c r="G154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212" i="2"/>
  <c r="G211" i="2"/>
  <c r="G210" i="2"/>
  <c r="G209" i="2"/>
  <c r="G208" i="2"/>
  <c r="G207" i="2"/>
  <c r="G205" i="2"/>
  <c r="G204" i="2"/>
  <c r="G203" i="2"/>
  <c r="G202" i="2"/>
  <c r="G201" i="2"/>
  <c r="G200" i="2"/>
  <c r="G218" i="2"/>
  <c r="G232" i="2"/>
  <c r="G231" i="2"/>
  <c r="G230" i="2"/>
  <c r="G229" i="2"/>
  <c r="G228" i="2"/>
  <c r="F233" i="2"/>
  <c r="D233" i="2"/>
  <c r="E233" i="2"/>
  <c r="M233" i="2"/>
  <c r="F652" i="2"/>
  <c r="F654" i="2" s="1"/>
  <c r="E652" i="2"/>
  <c r="E654" i="2" s="1"/>
  <c r="P343" i="2"/>
  <c r="K343" i="2" s="1"/>
  <c r="P342" i="2"/>
  <c r="K342" i="2" s="1"/>
  <c r="M739" i="2"/>
  <c r="M672" i="2"/>
  <c r="M652" i="2"/>
  <c r="M628" i="2"/>
  <c r="M619" i="2"/>
  <c r="M596" i="2"/>
  <c r="M587" i="2"/>
  <c r="M583" i="2"/>
  <c r="M408" i="2"/>
  <c r="M501" i="2" s="1"/>
  <c r="M225" i="2"/>
  <c r="M214" i="2"/>
  <c r="M197" i="2"/>
  <c r="M180" i="2"/>
  <c r="M159" i="2"/>
  <c r="M124" i="2"/>
  <c r="M77" i="2"/>
  <c r="M54" i="2"/>
  <c r="M49" i="2"/>
  <c r="G225" i="2" l="1"/>
  <c r="M315" i="2"/>
  <c r="G100" i="2"/>
  <c r="E550" i="2"/>
  <c r="E557" i="2" s="1"/>
  <c r="M612" i="2"/>
  <c r="G765" i="2"/>
  <c r="G516" i="2"/>
  <c r="K516" i="2" s="1"/>
  <c r="M56" i="2"/>
  <c r="M654" i="2"/>
  <c r="G233" i="2"/>
  <c r="G214" i="2"/>
  <c r="G523" i="2" l="1"/>
  <c r="G557" i="2" s="1"/>
  <c r="D652" i="2"/>
  <c r="D654" i="2" s="1"/>
  <c r="G649" i="2"/>
  <c r="E77" i="2"/>
  <c r="G74" i="2"/>
  <c r="G73" i="2"/>
  <c r="G71" i="2"/>
  <c r="G70" i="2"/>
  <c r="G69" i="2"/>
  <c r="G68" i="2"/>
  <c r="G67" i="2"/>
  <c r="G66" i="2"/>
  <c r="G64" i="2"/>
  <c r="G63" i="2"/>
  <c r="G180" i="2"/>
  <c r="E54" i="2"/>
  <c r="F54" i="2"/>
  <c r="G53" i="2"/>
  <c r="G52" i="2"/>
  <c r="G48" i="2"/>
  <c r="G47" i="2"/>
  <c r="G46" i="2"/>
  <c r="K46" i="2" s="1"/>
  <c r="G45" i="2"/>
  <c r="G44" i="2"/>
  <c r="G43" i="2"/>
  <c r="G42" i="2"/>
  <c r="G41" i="2"/>
  <c r="G40" i="2"/>
  <c r="G39" i="2"/>
  <c r="K39" i="2" s="1"/>
  <c r="G38" i="2"/>
  <c r="K38" i="2" s="1"/>
  <c r="G37" i="2"/>
  <c r="K37" i="2" s="1"/>
  <c r="G35" i="2"/>
  <c r="G34" i="2"/>
  <c r="G33" i="2"/>
  <c r="G32" i="2"/>
  <c r="G31" i="2"/>
  <c r="G30" i="2"/>
  <c r="G29" i="2"/>
  <c r="K29" i="2" s="1"/>
  <c r="G28" i="2"/>
  <c r="G27" i="2"/>
  <c r="K27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K13" i="2" s="1"/>
  <c r="G12" i="2"/>
  <c r="G11" i="2"/>
  <c r="G10" i="2"/>
  <c r="G7" i="2"/>
  <c r="G6" i="2"/>
  <c r="G5" i="2"/>
  <c r="G4" i="2"/>
  <c r="D214" i="2"/>
  <c r="E214" i="2"/>
  <c r="F214" i="2"/>
  <c r="D197" i="2"/>
  <c r="E197" i="2"/>
  <c r="F197" i="2"/>
  <c r="G197" i="2"/>
  <c r="D180" i="2"/>
  <c r="E180" i="2"/>
  <c r="F180" i="2"/>
  <c r="D159" i="2"/>
  <c r="E159" i="2"/>
  <c r="F159" i="2"/>
  <c r="G159" i="2"/>
  <c r="G124" i="2"/>
  <c r="F124" i="2"/>
  <c r="E124" i="2"/>
  <c r="D124" i="2"/>
  <c r="D56" i="2"/>
  <c r="E9" i="2"/>
  <c r="G9" i="2" s="1"/>
  <c r="U784" i="2"/>
  <c r="T784" i="2"/>
  <c r="O782" i="2"/>
  <c r="N782" i="2"/>
  <c r="P781" i="2"/>
  <c r="K781" i="2" s="1"/>
  <c r="P780" i="2"/>
  <c r="K780" i="2" s="1"/>
  <c r="P779" i="2"/>
  <c r="K779" i="2" s="1"/>
  <c r="P778" i="2"/>
  <c r="K778" i="2" s="1"/>
  <c r="P777" i="2"/>
  <c r="K777" i="2" s="1"/>
  <c r="P776" i="2"/>
  <c r="K776" i="2" s="1"/>
  <c r="P775" i="2"/>
  <c r="K775" i="2" s="1"/>
  <c r="P774" i="2"/>
  <c r="K774" i="2" s="1"/>
  <c r="P772" i="2"/>
  <c r="K772" i="2" s="1"/>
  <c r="P771" i="2"/>
  <c r="K771" i="2" s="1"/>
  <c r="P770" i="2"/>
  <c r="K770" i="2" s="1"/>
  <c r="P769" i="2"/>
  <c r="K769" i="2" s="1"/>
  <c r="P768" i="2"/>
  <c r="K768" i="2" s="1"/>
  <c r="O765" i="2"/>
  <c r="N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O739" i="2"/>
  <c r="N739" i="2"/>
  <c r="P738" i="2"/>
  <c r="K738" i="2" s="1"/>
  <c r="P737" i="2"/>
  <c r="K737" i="2" s="1"/>
  <c r="P736" i="2"/>
  <c r="K736" i="2" s="1"/>
  <c r="P735" i="2"/>
  <c r="K735" i="2" s="1"/>
  <c r="P734" i="2"/>
  <c r="K734" i="2" s="1"/>
  <c r="P733" i="2"/>
  <c r="K733" i="2" s="1"/>
  <c r="P732" i="2"/>
  <c r="K732" i="2" s="1"/>
  <c r="P731" i="2"/>
  <c r="K731" i="2" s="1"/>
  <c r="P730" i="2"/>
  <c r="K730" i="2" s="1"/>
  <c r="P729" i="2"/>
  <c r="K729" i="2" s="1"/>
  <c r="P728" i="2"/>
  <c r="K728" i="2" s="1"/>
  <c r="P727" i="2"/>
  <c r="K727" i="2" s="1"/>
  <c r="P726" i="2"/>
  <c r="K726" i="2" s="1"/>
  <c r="P725" i="2"/>
  <c r="K725" i="2" s="1"/>
  <c r="P724" i="2"/>
  <c r="K724" i="2" s="1"/>
  <c r="P723" i="2"/>
  <c r="K723" i="2" s="1"/>
  <c r="P722" i="2"/>
  <c r="K722" i="2" s="1"/>
  <c r="P721" i="2"/>
  <c r="K721" i="2" s="1"/>
  <c r="P720" i="2"/>
  <c r="K720" i="2" s="1"/>
  <c r="P719" i="2"/>
  <c r="K719" i="2" s="1"/>
  <c r="P717" i="2"/>
  <c r="K717" i="2" s="1"/>
  <c r="P716" i="2"/>
  <c r="K716" i="2" s="1"/>
  <c r="P715" i="2"/>
  <c r="K715" i="2" s="1"/>
  <c r="P714" i="2"/>
  <c r="K714" i="2" s="1"/>
  <c r="P713" i="2"/>
  <c r="K713" i="2" s="1"/>
  <c r="P712" i="2"/>
  <c r="K712" i="2" s="1"/>
  <c r="P711" i="2"/>
  <c r="K711" i="2" s="1"/>
  <c r="P710" i="2"/>
  <c r="K710" i="2" s="1"/>
  <c r="P709" i="2"/>
  <c r="K709" i="2" s="1"/>
  <c r="P708" i="2"/>
  <c r="K708" i="2" s="1"/>
  <c r="P707" i="2"/>
  <c r="P706" i="2"/>
  <c r="P705" i="2"/>
  <c r="P704" i="2"/>
  <c r="P703" i="2"/>
  <c r="P702" i="2"/>
  <c r="P701" i="2"/>
  <c r="P700" i="2"/>
  <c r="P699" i="2"/>
  <c r="P694" i="2"/>
  <c r="K694" i="2" s="1"/>
  <c r="P692" i="2"/>
  <c r="K692" i="2" s="1"/>
  <c r="P690" i="2"/>
  <c r="K690" i="2" s="1"/>
  <c r="P689" i="2"/>
  <c r="K689" i="2" s="1"/>
  <c r="P688" i="2"/>
  <c r="K688" i="2" s="1"/>
  <c r="P687" i="2"/>
  <c r="K687" i="2" s="1"/>
  <c r="P312" i="2"/>
  <c r="K312" i="2" s="1"/>
  <c r="P311" i="2"/>
  <c r="K311" i="2" s="1"/>
  <c r="P310" i="2"/>
  <c r="K310" i="2" s="1"/>
  <c r="P309" i="2"/>
  <c r="K309" i="2" s="1"/>
  <c r="P308" i="2"/>
  <c r="K308" i="2" s="1"/>
  <c r="P307" i="2"/>
  <c r="K307" i="2" s="1"/>
  <c r="P306" i="2"/>
  <c r="K306" i="2" s="1"/>
  <c r="P305" i="2"/>
  <c r="K305" i="2" s="1"/>
  <c r="P304" i="2"/>
  <c r="K304" i="2" s="1"/>
  <c r="P303" i="2"/>
  <c r="K303" i="2" s="1"/>
  <c r="P686" i="2"/>
  <c r="K686" i="2" s="1"/>
  <c r="P302" i="2"/>
  <c r="K302" i="2" s="1"/>
  <c r="O672" i="2"/>
  <c r="N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7" i="2"/>
  <c r="O652" i="2"/>
  <c r="N652" i="2"/>
  <c r="P651" i="2"/>
  <c r="K651" i="2" s="1"/>
  <c r="P650" i="2"/>
  <c r="K650" i="2" s="1"/>
  <c r="P649" i="2"/>
  <c r="P648" i="2"/>
  <c r="K648" i="2" s="1"/>
  <c r="P647" i="2"/>
  <c r="K647" i="2" s="1"/>
  <c r="P646" i="2"/>
  <c r="K646" i="2" s="1"/>
  <c r="P645" i="2"/>
  <c r="K645" i="2" s="1"/>
  <c r="P644" i="2"/>
  <c r="K644" i="2" s="1"/>
  <c r="P643" i="2"/>
  <c r="K643" i="2" s="1"/>
  <c r="P642" i="2"/>
  <c r="K642" i="2" s="1"/>
  <c r="P641" i="2"/>
  <c r="K641" i="2" s="1"/>
  <c r="O638" i="2"/>
  <c r="N638" i="2"/>
  <c r="P636" i="2"/>
  <c r="K636" i="2" s="1"/>
  <c r="P635" i="2"/>
  <c r="K635" i="2" s="1"/>
  <c r="P634" i="2"/>
  <c r="K634" i="2" s="1"/>
  <c r="P633" i="2"/>
  <c r="K633" i="2" s="1"/>
  <c r="P632" i="2"/>
  <c r="K632" i="2" s="1"/>
  <c r="P631" i="2"/>
  <c r="K631" i="2" s="1"/>
  <c r="O628" i="2"/>
  <c r="N628" i="2"/>
  <c r="P626" i="2"/>
  <c r="K626" i="2" s="1"/>
  <c r="P625" i="2"/>
  <c r="K625" i="2" s="1"/>
  <c r="P624" i="2"/>
  <c r="K624" i="2" s="1"/>
  <c r="P622" i="2"/>
  <c r="K622" i="2" s="1"/>
  <c r="U619" i="2"/>
  <c r="U654" i="2" s="1"/>
  <c r="T619" i="2"/>
  <c r="T654" i="2" s="1"/>
  <c r="S619" i="2"/>
  <c r="S654" i="2" s="1"/>
  <c r="O619" i="2"/>
  <c r="N619" i="2"/>
  <c r="P618" i="2"/>
  <c r="K618" i="2" s="1"/>
  <c r="P617" i="2"/>
  <c r="K617" i="2" s="1"/>
  <c r="P616" i="2"/>
  <c r="K616" i="2" s="1"/>
  <c r="P615" i="2"/>
  <c r="K615" i="2" s="1"/>
  <c r="S610" i="2"/>
  <c r="O610" i="2"/>
  <c r="N610" i="2"/>
  <c r="P609" i="2"/>
  <c r="K609" i="2" s="1"/>
  <c r="P608" i="2"/>
  <c r="K608" i="2" s="1"/>
  <c r="P607" i="2"/>
  <c r="K607" i="2" s="1"/>
  <c r="P606" i="2"/>
  <c r="K606" i="2" s="1"/>
  <c r="P605" i="2"/>
  <c r="K605" i="2" s="1"/>
  <c r="P604" i="2"/>
  <c r="K604" i="2" s="1"/>
  <c r="P603" i="2"/>
  <c r="K603" i="2" s="1"/>
  <c r="P602" i="2"/>
  <c r="K602" i="2" s="1"/>
  <c r="P601" i="2"/>
  <c r="K601" i="2" s="1"/>
  <c r="P600" i="2"/>
  <c r="K600" i="2" s="1"/>
  <c r="P599" i="2"/>
  <c r="K599" i="2" s="1"/>
  <c r="U596" i="2"/>
  <c r="T596" i="2"/>
  <c r="S596" i="2"/>
  <c r="O596" i="2"/>
  <c r="N596" i="2"/>
  <c r="P595" i="2"/>
  <c r="K595" i="2" s="1"/>
  <c r="P594" i="2"/>
  <c r="K594" i="2" s="1"/>
  <c r="P593" i="2"/>
  <c r="K593" i="2" s="1"/>
  <c r="P592" i="2"/>
  <c r="K592" i="2" s="1"/>
  <c r="P590" i="2"/>
  <c r="K590" i="2" s="1"/>
  <c r="U587" i="2"/>
  <c r="T587" i="2"/>
  <c r="S587" i="2"/>
  <c r="O587" i="2"/>
  <c r="N587" i="2"/>
  <c r="U583" i="2"/>
  <c r="T583" i="2"/>
  <c r="S583" i="2"/>
  <c r="N583" i="2"/>
  <c r="P582" i="2"/>
  <c r="K582" i="2" s="1"/>
  <c r="P581" i="2"/>
  <c r="K581" i="2" s="1"/>
  <c r="P579" i="2"/>
  <c r="K579" i="2" s="1"/>
  <c r="P578" i="2"/>
  <c r="K578" i="2" s="1"/>
  <c r="U575" i="2"/>
  <c r="T575" i="2"/>
  <c r="S575" i="2"/>
  <c r="O575" i="2"/>
  <c r="N575" i="2"/>
  <c r="P574" i="2"/>
  <c r="K574" i="2" s="1"/>
  <c r="P573" i="2"/>
  <c r="K573" i="2" s="1"/>
  <c r="P572" i="2"/>
  <c r="K572" i="2" s="1"/>
  <c r="P571" i="2"/>
  <c r="K571" i="2" s="1"/>
  <c r="P569" i="2"/>
  <c r="K569" i="2" s="1"/>
  <c r="U566" i="2"/>
  <c r="T566" i="2"/>
  <c r="S566" i="2"/>
  <c r="O566" i="2"/>
  <c r="N566" i="2"/>
  <c r="P565" i="2"/>
  <c r="K565" i="2" s="1"/>
  <c r="P564" i="2"/>
  <c r="K564" i="2" s="1"/>
  <c r="P563" i="2"/>
  <c r="K563" i="2" s="1"/>
  <c r="P562" i="2"/>
  <c r="K562" i="2" s="1"/>
  <c r="P561" i="2"/>
  <c r="K561" i="2" s="1"/>
  <c r="P560" i="2"/>
  <c r="K560" i="2" s="1"/>
  <c r="U557" i="2"/>
  <c r="T557" i="2"/>
  <c r="S555" i="2"/>
  <c r="S557" i="2" s="1"/>
  <c r="O555" i="2"/>
  <c r="N555" i="2"/>
  <c r="P554" i="2"/>
  <c r="K554" i="2" s="1"/>
  <c r="P553" i="2"/>
  <c r="K553" i="2" s="1"/>
  <c r="O550" i="2"/>
  <c r="N550" i="2"/>
  <c r="P549" i="2"/>
  <c r="K549" i="2" s="1"/>
  <c r="P548" i="2"/>
  <c r="K548" i="2" s="1"/>
  <c r="P547" i="2"/>
  <c r="K547" i="2" s="1"/>
  <c r="P546" i="2"/>
  <c r="K546" i="2" s="1"/>
  <c r="P545" i="2"/>
  <c r="K545" i="2" s="1"/>
  <c r="P544" i="2"/>
  <c r="K544" i="2" s="1"/>
  <c r="P543" i="2"/>
  <c r="K543" i="2" s="1"/>
  <c r="P542" i="2"/>
  <c r="K542" i="2" s="1"/>
  <c r="P541" i="2"/>
  <c r="K541" i="2" s="1"/>
  <c r="P540" i="2"/>
  <c r="K540" i="2" s="1"/>
  <c r="P539" i="2"/>
  <c r="K539" i="2" s="1"/>
  <c r="P538" i="2"/>
  <c r="K538" i="2" s="1"/>
  <c r="P529" i="2"/>
  <c r="K529" i="2" s="1"/>
  <c r="P528" i="2"/>
  <c r="K528" i="2" s="1"/>
  <c r="P527" i="2"/>
  <c r="K527" i="2" s="1"/>
  <c r="P526" i="2"/>
  <c r="K526" i="2" s="1"/>
  <c r="O523" i="2"/>
  <c r="N523" i="2"/>
  <c r="P522" i="2"/>
  <c r="K522" i="2" s="1"/>
  <c r="P521" i="2"/>
  <c r="K521" i="2" s="1"/>
  <c r="P520" i="2"/>
  <c r="K520" i="2" s="1"/>
  <c r="P519" i="2"/>
  <c r="K519" i="2" s="1"/>
  <c r="P510" i="2"/>
  <c r="K510" i="2" s="1"/>
  <c r="P509" i="2"/>
  <c r="K509" i="2" s="1"/>
  <c r="P508" i="2"/>
  <c r="K508" i="2" s="1"/>
  <c r="P507" i="2"/>
  <c r="K507" i="2" s="1"/>
  <c r="P506" i="2"/>
  <c r="K506" i="2" s="1"/>
  <c r="P505" i="2"/>
  <c r="K505" i="2" s="1"/>
  <c r="P504" i="2"/>
  <c r="K504" i="2" s="1"/>
  <c r="U501" i="2"/>
  <c r="T501" i="2"/>
  <c r="P498" i="2"/>
  <c r="P493" i="2"/>
  <c r="K493" i="2" s="1"/>
  <c r="P492" i="2"/>
  <c r="K492" i="2" s="1"/>
  <c r="P491" i="2"/>
  <c r="K491" i="2" s="1"/>
  <c r="P490" i="2"/>
  <c r="K490" i="2" s="1"/>
  <c r="P489" i="2"/>
  <c r="K489" i="2" s="1"/>
  <c r="P298" i="2"/>
  <c r="K298" i="2" s="1"/>
  <c r="P297" i="2"/>
  <c r="K297" i="2" s="1"/>
  <c r="P296" i="2"/>
  <c r="K296" i="2" s="1"/>
  <c r="P295" i="2"/>
  <c r="K295" i="2" s="1"/>
  <c r="P481" i="2"/>
  <c r="K481" i="2" s="1"/>
  <c r="P480" i="2"/>
  <c r="K480" i="2" s="1"/>
  <c r="P479" i="2"/>
  <c r="K479" i="2" s="1"/>
  <c r="P478" i="2"/>
  <c r="K478" i="2" s="1"/>
  <c r="P477" i="2"/>
  <c r="K477" i="2" s="1"/>
  <c r="P476" i="2"/>
  <c r="K476" i="2" s="1"/>
  <c r="P294" i="2"/>
  <c r="K294" i="2" s="1"/>
  <c r="O473" i="2"/>
  <c r="N473" i="2"/>
  <c r="P472" i="2"/>
  <c r="P470" i="2"/>
  <c r="K470" i="2" s="1"/>
  <c r="P469" i="2"/>
  <c r="K469" i="2" s="1"/>
  <c r="P468" i="2"/>
  <c r="K468" i="2" s="1"/>
  <c r="P467" i="2"/>
  <c r="K467" i="2" s="1"/>
  <c r="P465" i="2"/>
  <c r="K465" i="2" s="1"/>
  <c r="P464" i="2"/>
  <c r="K464" i="2" s="1"/>
  <c r="P463" i="2"/>
  <c r="K463" i="2" s="1"/>
  <c r="P462" i="2"/>
  <c r="K462" i="2" s="1"/>
  <c r="P461" i="2"/>
  <c r="K461" i="2" s="1"/>
  <c r="P460" i="2"/>
  <c r="K460" i="2" s="1"/>
  <c r="P459" i="2"/>
  <c r="K459" i="2" s="1"/>
  <c r="P458" i="2"/>
  <c r="K458" i="2" s="1"/>
  <c r="P457" i="2"/>
  <c r="K457" i="2" s="1"/>
  <c r="P456" i="2"/>
  <c r="K456" i="2" s="1"/>
  <c r="P455" i="2"/>
  <c r="K455" i="2" s="1"/>
  <c r="P454" i="2"/>
  <c r="K454" i="2" s="1"/>
  <c r="P444" i="2"/>
  <c r="K444" i="2" s="1"/>
  <c r="P443" i="2"/>
  <c r="K443" i="2" s="1"/>
  <c r="P442" i="2"/>
  <c r="K442" i="2" s="1"/>
  <c r="P441" i="2"/>
  <c r="K441" i="2" s="1"/>
  <c r="P440" i="2"/>
  <c r="K440" i="2" s="1"/>
  <c r="P439" i="2"/>
  <c r="K439" i="2" s="1"/>
  <c r="P438" i="2"/>
  <c r="K438" i="2" s="1"/>
  <c r="P437" i="2"/>
  <c r="K437" i="2" s="1"/>
  <c r="P436" i="2"/>
  <c r="K436" i="2" s="1"/>
  <c r="P435" i="2"/>
  <c r="K435" i="2" s="1"/>
  <c r="P434" i="2"/>
  <c r="K434" i="2" s="1"/>
  <c r="P433" i="2"/>
  <c r="K433" i="2" s="1"/>
  <c r="P290" i="2"/>
  <c r="K290" i="2" s="1"/>
  <c r="P289" i="2"/>
  <c r="K289" i="2" s="1"/>
  <c r="P288" i="2"/>
  <c r="K288" i="2" s="1"/>
  <c r="P287" i="2"/>
  <c r="K287" i="2" s="1"/>
  <c r="P286" i="2"/>
  <c r="K286" i="2" s="1"/>
  <c r="P285" i="2"/>
  <c r="K285" i="2" s="1"/>
  <c r="P284" i="2"/>
  <c r="K284" i="2" s="1"/>
  <c r="P283" i="2"/>
  <c r="K283" i="2" s="1"/>
  <c r="P282" i="2"/>
  <c r="K282" i="2" s="1"/>
  <c r="P281" i="2"/>
  <c r="K281" i="2" s="1"/>
  <c r="P280" i="2"/>
  <c r="K280" i="2" s="1"/>
  <c r="P278" i="2"/>
  <c r="K278" i="2" s="1"/>
  <c r="S417" i="2"/>
  <c r="O417" i="2"/>
  <c r="N417" i="2"/>
  <c r="P416" i="2"/>
  <c r="K416" i="2" s="1"/>
  <c r="P414" i="2"/>
  <c r="K414" i="2" s="1"/>
  <c r="P413" i="2"/>
  <c r="K413" i="2" s="1"/>
  <c r="P412" i="2"/>
  <c r="K412" i="2" s="1"/>
  <c r="P411" i="2"/>
  <c r="K411" i="2" s="1"/>
  <c r="K417" i="2" s="1"/>
  <c r="O408" i="2"/>
  <c r="N408" i="2"/>
  <c r="P407" i="2"/>
  <c r="K407" i="2" s="1"/>
  <c r="P406" i="2"/>
  <c r="K406" i="2" s="1"/>
  <c r="P405" i="2"/>
  <c r="K405" i="2" s="1"/>
  <c r="P404" i="2"/>
  <c r="K404" i="2" s="1"/>
  <c r="P403" i="2"/>
  <c r="K403" i="2" s="1"/>
  <c r="P402" i="2"/>
  <c r="K402" i="2" s="1"/>
  <c r="P401" i="2"/>
  <c r="K401" i="2" s="1"/>
  <c r="P400" i="2"/>
  <c r="K400" i="2" s="1"/>
  <c r="P396" i="2"/>
  <c r="K396" i="2" s="1"/>
  <c r="P394" i="2"/>
  <c r="K394" i="2" s="1"/>
  <c r="P390" i="2"/>
  <c r="K390" i="2" s="1"/>
  <c r="P271" i="2"/>
  <c r="K271" i="2" s="1"/>
  <c r="P270" i="2"/>
  <c r="K270" i="2" s="1"/>
  <c r="P269" i="2"/>
  <c r="K269" i="2" s="1"/>
  <c r="P268" i="2"/>
  <c r="K268" i="2" s="1"/>
  <c r="P267" i="2"/>
  <c r="K267" i="2" s="1"/>
  <c r="P378" i="2"/>
  <c r="K378" i="2" s="1"/>
  <c r="P377" i="2"/>
  <c r="K377" i="2" s="1"/>
  <c r="P376" i="2"/>
  <c r="K376" i="2" s="1"/>
  <c r="P375" i="2"/>
  <c r="K375" i="2" s="1"/>
  <c r="P374" i="2"/>
  <c r="K374" i="2" s="1"/>
  <c r="P373" i="2"/>
  <c r="K373" i="2" s="1"/>
  <c r="P372" i="2"/>
  <c r="K372" i="2" s="1"/>
  <c r="P264" i="2"/>
  <c r="K264" i="2" s="1"/>
  <c r="P263" i="2"/>
  <c r="P262" i="2"/>
  <c r="P261" i="2"/>
  <c r="P260" i="2"/>
  <c r="P259" i="2"/>
  <c r="P258" i="2"/>
  <c r="P257" i="2"/>
  <c r="P256" i="2"/>
  <c r="P255" i="2"/>
  <c r="P254" i="2"/>
  <c r="P253" i="2"/>
  <c r="P252" i="2"/>
  <c r="P345" i="2"/>
  <c r="P344" i="2"/>
  <c r="K344" i="2" s="1"/>
  <c r="P341" i="2"/>
  <c r="K341" i="2" s="1"/>
  <c r="P340" i="2"/>
  <c r="K340" i="2" s="1"/>
  <c r="P339" i="2"/>
  <c r="K339" i="2" s="1"/>
  <c r="P338" i="2"/>
  <c r="K338" i="2" s="1"/>
  <c r="P337" i="2"/>
  <c r="K337" i="2" s="1"/>
  <c r="P336" i="2"/>
  <c r="K336" i="2" s="1"/>
  <c r="P335" i="2"/>
  <c r="K335" i="2" s="1"/>
  <c r="P334" i="2"/>
  <c r="K334" i="2" s="1"/>
  <c r="P333" i="2"/>
  <c r="K333" i="2" s="1"/>
  <c r="P332" i="2"/>
  <c r="K332" i="2" s="1"/>
  <c r="P248" i="2"/>
  <c r="K248" i="2" s="1"/>
  <c r="P247" i="2"/>
  <c r="K247" i="2" s="1"/>
  <c r="P246" i="2"/>
  <c r="K246" i="2" s="1"/>
  <c r="P245" i="2"/>
  <c r="K245" i="2" s="1"/>
  <c r="P244" i="2"/>
  <c r="K244" i="2" s="1"/>
  <c r="P326" i="2"/>
  <c r="P243" i="2"/>
  <c r="K243" i="2" s="1"/>
  <c r="P242" i="2"/>
  <c r="K242" i="2" s="1"/>
  <c r="P241" i="2"/>
  <c r="K241" i="2" s="1"/>
  <c r="P240" i="2"/>
  <c r="K240" i="2" s="1"/>
  <c r="P239" i="2"/>
  <c r="K239" i="2" s="1"/>
  <c r="P238" i="2"/>
  <c r="K238" i="2" s="1"/>
  <c r="P237" i="2"/>
  <c r="K237" i="2" s="1"/>
  <c r="P236" i="2"/>
  <c r="K236" i="2" s="1"/>
  <c r="S233" i="2"/>
  <c r="O233" i="2"/>
  <c r="N233" i="2"/>
  <c r="P232" i="2"/>
  <c r="K232" i="2" s="1"/>
  <c r="P231" i="2"/>
  <c r="K231" i="2" s="1"/>
  <c r="P230" i="2"/>
  <c r="K230" i="2" s="1"/>
  <c r="P229" i="2"/>
  <c r="K229" i="2" s="1"/>
  <c r="P228" i="2"/>
  <c r="K228" i="2" s="1"/>
  <c r="K233" i="2" s="1"/>
  <c r="S225" i="2"/>
  <c r="P224" i="2"/>
  <c r="P223" i="2"/>
  <c r="P222" i="2"/>
  <c r="P221" i="2"/>
  <c r="K221" i="2" s="1"/>
  <c r="P220" i="2"/>
  <c r="K220" i="2" s="1"/>
  <c r="P219" i="2"/>
  <c r="K219" i="2" s="1"/>
  <c r="P218" i="2"/>
  <c r="K218" i="2" s="1"/>
  <c r="P217" i="2"/>
  <c r="K217" i="2" s="1"/>
  <c r="O214" i="2"/>
  <c r="N214" i="2"/>
  <c r="P212" i="2"/>
  <c r="K212" i="2" s="1"/>
  <c r="P211" i="2"/>
  <c r="K211" i="2" s="1"/>
  <c r="P210" i="2"/>
  <c r="K210" i="2" s="1"/>
  <c r="P209" i="2"/>
  <c r="K209" i="2" s="1"/>
  <c r="P208" i="2"/>
  <c r="K208" i="2" s="1"/>
  <c r="P207" i="2"/>
  <c r="K207" i="2" s="1"/>
  <c r="P206" i="2"/>
  <c r="K206" i="2" s="1"/>
  <c r="P205" i="2"/>
  <c r="K205" i="2" s="1"/>
  <c r="P204" i="2"/>
  <c r="K204" i="2" s="1"/>
  <c r="P203" i="2"/>
  <c r="K203" i="2" s="1"/>
  <c r="P202" i="2"/>
  <c r="K202" i="2" s="1"/>
  <c r="P201" i="2"/>
  <c r="K201" i="2" s="1"/>
  <c r="P200" i="2"/>
  <c r="K200" i="2" s="1"/>
  <c r="O197" i="2"/>
  <c r="N197" i="2"/>
  <c r="P196" i="2"/>
  <c r="K196" i="2" s="1"/>
  <c r="P195" i="2"/>
  <c r="K195" i="2" s="1"/>
  <c r="P194" i="2"/>
  <c r="K194" i="2" s="1"/>
  <c r="P193" i="2"/>
  <c r="K193" i="2" s="1"/>
  <c r="P192" i="2"/>
  <c r="K192" i="2" s="1"/>
  <c r="P191" i="2"/>
  <c r="K191" i="2" s="1"/>
  <c r="P190" i="2"/>
  <c r="K190" i="2" s="1"/>
  <c r="P189" i="2"/>
  <c r="K189" i="2" s="1"/>
  <c r="P188" i="2"/>
  <c r="K188" i="2" s="1"/>
  <c r="P187" i="2"/>
  <c r="K187" i="2" s="1"/>
  <c r="P186" i="2"/>
  <c r="K186" i="2" s="1"/>
  <c r="P185" i="2"/>
  <c r="K185" i="2" s="1"/>
  <c r="P184" i="2"/>
  <c r="K184" i="2" s="1"/>
  <c r="P183" i="2"/>
  <c r="K183" i="2" s="1"/>
  <c r="O180" i="2"/>
  <c r="N180" i="2"/>
  <c r="P179" i="2"/>
  <c r="K179" i="2" s="1"/>
  <c r="P178" i="2"/>
  <c r="K178" i="2" s="1"/>
  <c r="P177" i="2"/>
  <c r="K177" i="2" s="1"/>
  <c r="P176" i="2"/>
  <c r="K176" i="2" s="1"/>
  <c r="P175" i="2"/>
  <c r="K175" i="2" s="1"/>
  <c r="P174" i="2"/>
  <c r="K174" i="2" s="1"/>
  <c r="P173" i="2"/>
  <c r="K173" i="2" s="1"/>
  <c r="P172" i="2"/>
  <c r="K172" i="2" s="1"/>
  <c r="P171" i="2"/>
  <c r="K171" i="2" s="1"/>
  <c r="P170" i="2"/>
  <c r="K170" i="2" s="1"/>
  <c r="P169" i="2"/>
  <c r="K169" i="2" s="1"/>
  <c r="P168" i="2"/>
  <c r="K168" i="2" s="1"/>
  <c r="P167" i="2"/>
  <c r="K167" i="2" s="1"/>
  <c r="P166" i="2"/>
  <c r="K166" i="2" s="1"/>
  <c r="P165" i="2"/>
  <c r="K165" i="2" s="1"/>
  <c r="P164" i="2"/>
  <c r="K164" i="2" s="1"/>
  <c r="P163" i="2"/>
  <c r="K163" i="2" s="1"/>
  <c r="P162" i="2"/>
  <c r="K162" i="2" s="1"/>
  <c r="U159" i="2"/>
  <c r="U315" i="2" s="1"/>
  <c r="T159" i="2"/>
  <c r="T315" i="2" s="1"/>
  <c r="S159" i="2"/>
  <c r="O159" i="2"/>
  <c r="N159" i="2"/>
  <c r="P158" i="2"/>
  <c r="P157" i="2"/>
  <c r="K157" i="2" s="1"/>
  <c r="P156" i="2"/>
  <c r="K156" i="2" s="1"/>
  <c r="P155" i="2"/>
  <c r="K155" i="2" s="1"/>
  <c r="P154" i="2"/>
  <c r="K154" i="2" s="1"/>
  <c r="P150" i="2"/>
  <c r="K150" i="2" s="1"/>
  <c r="P149" i="2"/>
  <c r="K149" i="2" s="1"/>
  <c r="P148" i="2"/>
  <c r="K148" i="2" s="1"/>
  <c r="P147" i="2"/>
  <c r="K147" i="2" s="1"/>
  <c r="P146" i="2"/>
  <c r="K146" i="2" s="1"/>
  <c r="P145" i="2"/>
  <c r="K145" i="2" s="1"/>
  <c r="P143" i="2"/>
  <c r="K143" i="2" s="1"/>
  <c r="P142" i="2"/>
  <c r="K142" i="2" s="1"/>
  <c r="P141" i="2"/>
  <c r="K141" i="2" s="1"/>
  <c r="P140" i="2"/>
  <c r="K140" i="2" s="1"/>
  <c r="P139" i="2"/>
  <c r="O124" i="2"/>
  <c r="N124" i="2"/>
  <c r="P123" i="2"/>
  <c r="K123" i="2" s="1"/>
  <c r="P122" i="2"/>
  <c r="K122" i="2" s="1"/>
  <c r="P121" i="2"/>
  <c r="K121" i="2" s="1"/>
  <c r="P120" i="2"/>
  <c r="K120" i="2" s="1"/>
  <c r="P119" i="2"/>
  <c r="K119" i="2" s="1"/>
  <c r="P118" i="2"/>
  <c r="K118" i="2" s="1"/>
  <c r="P117" i="2"/>
  <c r="K117" i="2" s="1"/>
  <c r="P116" i="2"/>
  <c r="K116" i="2" s="1"/>
  <c r="O100" i="2"/>
  <c r="N100" i="2"/>
  <c r="P99" i="2"/>
  <c r="K99" i="2" s="1"/>
  <c r="P98" i="2"/>
  <c r="K98" i="2" s="1"/>
  <c r="P97" i="2"/>
  <c r="K97" i="2" s="1"/>
  <c r="P96" i="2"/>
  <c r="K96" i="2" s="1"/>
  <c r="P95" i="2"/>
  <c r="K95" i="2" s="1"/>
  <c r="P94" i="2"/>
  <c r="K94" i="2" s="1"/>
  <c r="P93" i="2"/>
  <c r="K93" i="2" s="1"/>
  <c r="P92" i="2"/>
  <c r="K92" i="2" s="1"/>
  <c r="P91" i="2"/>
  <c r="K91" i="2" s="1"/>
  <c r="P90" i="2"/>
  <c r="K90" i="2" s="1"/>
  <c r="P89" i="2"/>
  <c r="K89" i="2" s="1"/>
  <c r="P88" i="2"/>
  <c r="P87" i="2"/>
  <c r="K87" i="2" s="1"/>
  <c r="P86" i="2"/>
  <c r="K86" i="2" s="1"/>
  <c r="P85" i="2"/>
  <c r="K85" i="2" s="1"/>
  <c r="P84" i="2"/>
  <c r="K84" i="2" s="1"/>
  <c r="P83" i="2"/>
  <c r="K83" i="2" s="1"/>
  <c r="P82" i="2"/>
  <c r="K82" i="2" s="1"/>
  <c r="P81" i="2"/>
  <c r="K81" i="2" s="1"/>
  <c r="P80" i="2"/>
  <c r="K80" i="2" s="1"/>
  <c r="N77" i="2"/>
  <c r="P76" i="2"/>
  <c r="G76" i="2" s="1"/>
  <c r="K76" i="2" s="1"/>
  <c r="P75" i="2"/>
  <c r="G75" i="2" s="1"/>
  <c r="K75" i="2" s="1"/>
  <c r="P74" i="2"/>
  <c r="P73" i="2"/>
  <c r="P72" i="2"/>
  <c r="G72" i="2" s="1"/>
  <c r="K72" i="2" s="1"/>
  <c r="P71" i="2"/>
  <c r="P70" i="2"/>
  <c r="P69" i="2"/>
  <c r="P68" i="2"/>
  <c r="P67" i="2"/>
  <c r="P66" i="2"/>
  <c r="P65" i="2"/>
  <c r="P64" i="2"/>
  <c r="P63" i="2"/>
  <c r="P62" i="2"/>
  <c r="G62" i="2" s="1"/>
  <c r="K62" i="2" s="1"/>
  <c r="P61" i="2"/>
  <c r="F61" i="2" s="1"/>
  <c r="P60" i="2"/>
  <c r="U54" i="2"/>
  <c r="U56" i="2" s="1"/>
  <c r="T54" i="2"/>
  <c r="T56" i="2" s="1"/>
  <c r="S54" i="2"/>
  <c r="N54" i="2"/>
  <c r="P53" i="2"/>
  <c r="P52" i="2"/>
  <c r="S49" i="2"/>
  <c r="O56" i="2"/>
  <c r="N49" i="2"/>
  <c r="P48" i="2"/>
  <c r="P47" i="2"/>
  <c r="P46" i="2"/>
  <c r="P45" i="2"/>
  <c r="P44" i="2"/>
  <c r="P43" i="2"/>
  <c r="P42" i="2"/>
  <c r="P41" i="2"/>
  <c r="P40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7" i="2"/>
  <c r="P6" i="2"/>
  <c r="P5" i="2"/>
  <c r="P4" i="2"/>
  <c r="K21" i="2" l="1"/>
  <c r="K197" i="2"/>
  <c r="K473" i="2"/>
  <c r="K214" i="2"/>
  <c r="K315" i="2" s="1"/>
  <c r="K291" i="2"/>
  <c r="K159" i="2"/>
  <c r="K696" i="2"/>
  <c r="K5" i="2"/>
  <c r="K15" i="2"/>
  <c r="K23" i="2"/>
  <c r="K31" i="2"/>
  <c r="K40" i="2"/>
  <c r="K48" i="2"/>
  <c r="K66" i="2"/>
  <c r="K397" i="2"/>
  <c r="G652" i="2"/>
  <c r="G654" i="2" s="1"/>
  <c r="K649" i="2"/>
  <c r="K652" i="2" s="1"/>
  <c r="K739" i="2"/>
  <c r="K782" i="2"/>
  <c r="K523" i="2"/>
  <c r="K638" i="2"/>
  <c r="K619" i="2"/>
  <c r="K628" i="2"/>
  <c r="K249" i="2"/>
  <c r="D5" i="5"/>
  <c r="D21" i="5" s="1"/>
  <c r="F77" i="2"/>
  <c r="K63" i="2"/>
  <c r="K73" i="2"/>
  <c r="K583" i="2"/>
  <c r="K313" i="2"/>
  <c r="K4" i="2"/>
  <c r="K14" i="2"/>
  <c r="K22" i="2"/>
  <c r="K30" i="2"/>
  <c r="K47" i="2"/>
  <c r="K64" i="2"/>
  <c r="K74" i="2"/>
  <c r="K299" i="2"/>
  <c r="K535" i="2"/>
  <c r="K6" i="2"/>
  <c r="K16" i="2"/>
  <c r="K24" i="2"/>
  <c r="K32" i="2"/>
  <c r="K41" i="2"/>
  <c r="K67" i="2"/>
  <c r="K180" i="2"/>
  <c r="K446" i="2"/>
  <c r="K499" i="2"/>
  <c r="K566" i="2"/>
  <c r="K7" i="2"/>
  <c r="K17" i="2"/>
  <c r="K25" i="2"/>
  <c r="K33" i="2"/>
  <c r="K42" i="2"/>
  <c r="K53" i="2"/>
  <c r="K54" i="2" s="1"/>
  <c r="K68" i="2"/>
  <c r="K124" i="2"/>
  <c r="K555" i="2"/>
  <c r="K9" i="2"/>
  <c r="K10" i="2"/>
  <c r="K18" i="2"/>
  <c r="K26" i="2"/>
  <c r="K34" i="2"/>
  <c r="K43" i="2"/>
  <c r="K69" i="2"/>
  <c r="K347" i="2"/>
  <c r="K275" i="2"/>
  <c r="K408" i="2"/>
  <c r="K511" i="2"/>
  <c r="K596" i="2"/>
  <c r="K11" i="2"/>
  <c r="K19" i="2"/>
  <c r="K35" i="2"/>
  <c r="K44" i="2"/>
  <c r="K70" i="2"/>
  <c r="W88" i="2"/>
  <c r="K88" i="2"/>
  <c r="K100" i="2" s="1"/>
  <c r="K225" i="2"/>
  <c r="K379" i="2"/>
  <c r="K550" i="2"/>
  <c r="K575" i="2"/>
  <c r="K12" i="2"/>
  <c r="K20" i="2"/>
  <c r="K28" i="2"/>
  <c r="K45" i="2"/>
  <c r="K71" i="2"/>
  <c r="C42" i="4"/>
  <c r="C60" i="4"/>
  <c r="C58" i="4"/>
  <c r="C40" i="4"/>
  <c r="O315" i="2"/>
  <c r="P77" i="2"/>
  <c r="N315" i="2"/>
  <c r="N501" i="2"/>
  <c r="P379" i="2"/>
  <c r="P511" i="2"/>
  <c r="P499" i="2"/>
  <c r="E315" i="2"/>
  <c r="P696" i="2"/>
  <c r="P397" i="2"/>
  <c r="R397" i="2" s="1"/>
  <c r="P299" i="2"/>
  <c r="P313" i="2"/>
  <c r="M784" i="2"/>
  <c r="P446" i="2"/>
  <c r="P275" i="2"/>
  <c r="P291" i="2"/>
  <c r="P249" i="2"/>
  <c r="P347" i="2"/>
  <c r="G61" i="2"/>
  <c r="K61" i="2" s="1"/>
  <c r="G49" i="2"/>
  <c r="I14" i="2" s="1"/>
  <c r="P535" i="2"/>
  <c r="G54" i="2"/>
  <c r="H52" i="2"/>
  <c r="E49" i="2"/>
  <c r="E56" i="2" s="1"/>
  <c r="H53" i="2"/>
  <c r="F56" i="2"/>
  <c r="N784" i="2"/>
  <c r="P610" i="2"/>
  <c r="P628" i="2"/>
  <c r="R628" i="2" s="1"/>
  <c r="P765" i="2"/>
  <c r="P782" i="2"/>
  <c r="R782" i="2" s="1"/>
  <c r="O654" i="2"/>
  <c r="P523" i="2"/>
  <c r="R523" i="2" s="1"/>
  <c r="Q17" i="2"/>
  <c r="Q25" i="2"/>
  <c r="P225" i="2"/>
  <c r="R225" i="2" s="1"/>
  <c r="P197" i="2"/>
  <c r="R197" i="2" s="1"/>
  <c r="Q20" i="2"/>
  <c r="P638" i="2"/>
  <c r="R638" i="2" s="1"/>
  <c r="O784" i="2"/>
  <c r="P583" i="2"/>
  <c r="R583" i="2" s="1"/>
  <c r="P596" i="2"/>
  <c r="R596" i="2" s="1"/>
  <c r="P159" i="2"/>
  <c r="R159" i="2" s="1"/>
  <c r="P54" i="2"/>
  <c r="R54" i="2" s="1"/>
  <c r="N557" i="2"/>
  <c r="S612" i="2"/>
  <c r="P575" i="2"/>
  <c r="R575" i="2" s="1"/>
  <c r="S56" i="2"/>
  <c r="P555" i="2"/>
  <c r="R555" i="2" s="1"/>
  <c r="P124" i="2"/>
  <c r="R124" i="2" s="1"/>
  <c r="P566" i="2"/>
  <c r="P652" i="2"/>
  <c r="P672" i="2"/>
  <c r="Q16" i="2"/>
  <c r="P100" i="2"/>
  <c r="R100" i="2" s="1"/>
  <c r="P408" i="2"/>
  <c r="R408" i="2" s="1"/>
  <c r="P417" i="2"/>
  <c r="R417" i="2" s="1"/>
  <c r="Q46" i="2"/>
  <c r="R151" i="2"/>
  <c r="P233" i="2"/>
  <c r="R233" i="2" s="1"/>
  <c r="P473" i="2"/>
  <c r="R473" i="2" s="1"/>
  <c r="P550" i="2"/>
  <c r="R550" i="2" s="1"/>
  <c r="P49" i="2"/>
  <c r="Q31" i="2" s="1"/>
  <c r="P214" i="2"/>
  <c r="R214" i="2" s="1"/>
  <c r="N612" i="2"/>
  <c r="U612" i="2"/>
  <c r="U786" i="2" s="1"/>
  <c r="N56" i="2"/>
  <c r="S315" i="2"/>
  <c r="S347" i="2" s="1"/>
  <c r="O557" i="2"/>
  <c r="O612" i="2"/>
  <c r="P587" i="2"/>
  <c r="N654" i="2"/>
  <c r="T612" i="2"/>
  <c r="P619" i="2"/>
  <c r="R619" i="2" s="1"/>
  <c r="P739" i="2"/>
  <c r="P180" i="2"/>
  <c r="K501" i="2" l="1"/>
  <c r="R765" i="2"/>
  <c r="K765" i="2"/>
  <c r="K784" i="2" s="1"/>
  <c r="R610" i="2"/>
  <c r="K610" i="2"/>
  <c r="K612" i="2" s="1"/>
  <c r="K654" i="2"/>
  <c r="F315" i="2"/>
  <c r="D30" i="5"/>
  <c r="D33" i="5" s="1"/>
  <c r="K557" i="2"/>
  <c r="K49" i="2"/>
  <c r="G139" i="2"/>
  <c r="I30" i="2"/>
  <c r="I28" i="2"/>
  <c r="I26" i="2"/>
  <c r="I12" i="2"/>
  <c r="I11" i="2"/>
  <c r="I18" i="2"/>
  <c r="I24" i="2"/>
  <c r="I47" i="2"/>
  <c r="I48" i="2"/>
  <c r="I23" i="2"/>
  <c r="I31" i="2"/>
  <c r="I10" i="2"/>
  <c r="H45" i="2"/>
  <c r="G56" i="2"/>
  <c r="I44" i="2"/>
  <c r="I9" i="2"/>
  <c r="I4" i="2"/>
  <c r="I35" i="2"/>
  <c r="I7" i="2"/>
  <c r="I29" i="2"/>
  <c r="I19" i="2"/>
  <c r="I15" i="2"/>
  <c r="I13" i="2"/>
  <c r="R77" i="2"/>
  <c r="P315" i="2"/>
  <c r="P784" i="2"/>
  <c r="M786" i="2"/>
  <c r="M788" i="2" s="1"/>
  <c r="N786" i="2"/>
  <c r="N788" i="2" s="1"/>
  <c r="S499" i="2"/>
  <c r="S501" i="2" s="1"/>
  <c r="O501" i="2"/>
  <c r="E501" i="2"/>
  <c r="K60" i="2"/>
  <c r="H22" i="2"/>
  <c r="H14" i="2"/>
  <c r="H28" i="2"/>
  <c r="H10" i="2"/>
  <c r="H5" i="2"/>
  <c r="H26" i="2"/>
  <c r="H48" i="2"/>
  <c r="H9" i="2"/>
  <c r="H18" i="2"/>
  <c r="H40" i="2"/>
  <c r="H54" i="2"/>
  <c r="H32" i="2"/>
  <c r="H36" i="2"/>
  <c r="H34" i="2"/>
  <c r="H37" i="2"/>
  <c r="H16" i="2"/>
  <c r="H15" i="2"/>
  <c r="H35" i="2"/>
  <c r="H21" i="2"/>
  <c r="H24" i="2"/>
  <c r="H11" i="2"/>
  <c r="H38" i="2"/>
  <c r="H23" i="2"/>
  <c r="H43" i="2"/>
  <c r="H13" i="2"/>
  <c r="H6" i="2"/>
  <c r="H29" i="2"/>
  <c r="H30" i="2"/>
  <c r="H39" i="2"/>
  <c r="H33" i="2"/>
  <c r="Q53" i="2"/>
  <c r="H12" i="2"/>
  <c r="H31" i="2"/>
  <c r="H42" i="2"/>
  <c r="H4" i="2"/>
  <c r="H25" i="2"/>
  <c r="H7" i="2"/>
  <c r="H44" i="2"/>
  <c r="H47" i="2"/>
  <c r="H19" i="2"/>
  <c r="H41" i="2"/>
  <c r="H17" i="2"/>
  <c r="H46" i="2"/>
  <c r="H20" i="2"/>
  <c r="H27" i="2"/>
  <c r="Q4" i="2"/>
  <c r="Q124" i="2"/>
  <c r="Q9" i="2"/>
  <c r="Q765" i="2"/>
  <c r="Q535" i="2"/>
  <c r="Q10" i="2"/>
  <c r="Q18" i="2"/>
  <c r="Q619" i="2"/>
  <c r="Q523" i="2"/>
  <c r="Q566" i="2"/>
  <c r="Q30" i="2"/>
  <c r="Q782" i="2"/>
  <c r="Q35" i="2"/>
  <c r="R535" i="2"/>
  <c r="Q596" i="2"/>
  <c r="Q14" i="2"/>
  <c r="Q473" i="2"/>
  <c r="Q32" i="2"/>
  <c r="Q77" i="2"/>
  <c r="Q44" i="2"/>
  <c r="Q610" i="2"/>
  <c r="Q24" i="2"/>
  <c r="Q417" i="2"/>
  <c r="Q42" i="2"/>
  <c r="Q197" i="2"/>
  <c r="Q7" i="2"/>
  <c r="Q408" i="2"/>
  <c r="Q13" i="2"/>
  <c r="P654" i="2"/>
  <c r="Q652" i="2"/>
  <c r="Q54" i="2"/>
  <c r="Q23" i="2"/>
  <c r="R652" i="2"/>
  <c r="Q628" i="2"/>
  <c r="Q29" i="2"/>
  <c r="Q225" i="2"/>
  <c r="P56" i="2"/>
  <c r="Q19" i="2"/>
  <c r="Q40" i="2"/>
  <c r="R49" i="2"/>
  <c r="Q555" i="2"/>
  <c r="Q638" i="2"/>
  <c r="Q48" i="2"/>
  <c r="Q47" i="2"/>
  <c r="Q159" i="2"/>
  <c r="Q41" i="2"/>
  <c r="Q15" i="2"/>
  <c r="R566" i="2"/>
  <c r="Q575" i="2"/>
  <c r="Q583" i="2"/>
  <c r="Q26" i="2"/>
  <c r="Q45" i="2"/>
  <c r="Q397" i="2"/>
  <c r="Q12" i="2"/>
  <c r="Q214" i="2"/>
  <c r="Q11" i="2"/>
  <c r="Q5" i="2"/>
  <c r="P612" i="2"/>
  <c r="Q550" i="2"/>
  <c r="Q27" i="2"/>
  <c r="Q28" i="2"/>
  <c r="Q233" i="2"/>
  <c r="Q100" i="2"/>
  <c r="Q151" i="2"/>
  <c r="Q739" i="2"/>
  <c r="Q33" i="2"/>
  <c r="R739" i="2"/>
  <c r="P557" i="2"/>
  <c r="R511" i="2"/>
  <c r="Q511" i="2"/>
  <c r="R180" i="2"/>
  <c r="Q180" i="2"/>
  <c r="G151" i="2" l="1"/>
  <c r="K139" i="2"/>
  <c r="K151" i="2" s="1"/>
  <c r="D58" i="4"/>
  <c r="D40" i="4"/>
  <c r="R315" i="2"/>
  <c r="D56" i="4"/>
  <c r="D38" i="4"/>
  <c r="R612" i="2"/>
  <c r="D59" i="4"/>
  <c r="D41" i="4"/>
  <c r="Q52" i="2"/>
  <c r="Q784" i="2"/>
  <c r="D43" i="4"/>
  <c r="R654" i="2"/>
  <c r="D60" i="4"/>
  <c r="D42" i="4"/>
  <c r="D61" i="4"/>
  <c r="I49" i="2"/>
  <c r="Q696" i="2"/>
  <c r="E784" i="2"/>
  <c r="E786" i="2" s="1"/>
  <c r="E788" i="2" s="1"/>
  <c r="F784" i="2"/>
  <c r="S696" i="2"/>
  <c r="R499" i="2"/>
  <c r="Q347" i="2"/>
  <c r="R347" i="2"/>
  <c r="F501" i="2"/>
  <c r="D77" i="2"/>
  <c r="D315" i="2" s="1"/>
  <c r="G65" i="2"/>
  <c r="K65" i="2" s="1"/>
  <c r="K77" i="2" s="1"/>
  <c r="H49" i="2"/>
  <c r="Q654" i="2"/>
  <c r="Q315" i="2"/>
  <c r="R56" i="2"/>
  <c r="Q612" i="2"/>
  <c r="R557" i="2"/>
  <c r="Q557" i="2"/>
  <c r="K786" i="2" l="1"/>
  <c r="F786" i="2"/>
  <c r="F788" i="2" s="1"/>
  <c r="R379" i="2"/>
  <c r="P501" i="2"/>
  <c r="D501" i="2"/>
  <c r="S784" i="2"/>
  <c r="R784" i="2" s="1"/>
  <c r="R696" i="2"/>
  <c r="Q499" i="2"/>
  <c r="Q379" i="2"/>
  <c r="O786" i="2"/>
  <c r="O788" i="2" s="1"/>
  <c r="R446" i="2"/>
  <c r="Q446" i="2"/>
  <c r="G77" i="2"/>
  <c r="G315" i="2" l="1"/>
  <c r="C56" i="4" s="1"/>
  <c r="C62" i="4" s="1"/>
  <c r="R501" i="2"/>
  <c r="D57" i="4"/>
  <c r="D39" i="4"/>
  <c r="D44" i="4" s="1"/>
  <c r="D784" i="2"/>
  <c r="D786" i="2" s="1"/>
  <c r="D788" i="2" s="1"/>
  <c r="P786" i="2"/>
  <c r="Q501" i="2"/>
  <c r="C38" i="4" l="1"/>
  <c r="P788" i="2"/>
  <c r="D45" i="4"/>
  <c r="N790" i="2"/>
  <c r="R786" i="2"/>
  <c r="Q786" i="2"/>
  <c r="D63" i="4" l="1"/>
  <c r="D64" i="4" s="1"/>
  <c r="D46" i="4"/>
  <c r="G501" i="2"/>
  <c r="G784" i="2"/>
  <c r="C61" i="4" l="1"/>
  <c r="C43" i="4"/>
  <c r="C39" i="4"/>
  <c r="C44" i="4" s="1"/>
  <c r="C57" i="4"/>
  <c r="G786" i="2"/>
  <c r="I501" i="2" s="1"/>
  <c r="I784" i="2" l="1"/>
  <c r="B810" i="2" s="1"/>
  <c r="C45" i="4"/>
  <c r="C63" i="4" s="1"/>
  <c r="I315" i="2"/>
  <c r="B805" i="2" s="1"/>
  <c r="I612" i="2"/>
  <c r="B808" i="2" s="1"/>
  <c r="I557" i="2"/>
  <c r="B807" i="2" s="1"/>
  <c r="I654" i="2"/>
  <c r="B809" i="2" s="1"/>
  <c r="B806" i="2"/>
  <c r="G788" i="2"/>
  <c r="G790" i="2"/>
  <c r="C64" i="4" l="1"/>
  <c r="C46" i="4"/>
  <c r="I78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dgetreu</author>
  </authors>
  <commentList>
    <comment ref="M191" authorId="0" shapeId="0" xr:uid="{FE14E97E-D114-4068-8ED6-02B78FB410FC}">
      <text>
        <r>
          <rPr>
            <b/>
            <sz val="9"/>
            <color indexed="81"/>
            <rFont val="Tahoma"/>
            <family val="2"/>
          </rPr>
          <t>dgetreu:</t>
        </r>
        <r>
          <rPr>
            <sz val="9"/>
            <color indexed="81"/>
            <rFont val="Tahoma"/>
            <family val="2"/>
          </rPr>
          <t xml:space="preserve">
request trustees pay 2/3 or utilize endowments</t>
        </r>
      </text>
    </comment>
    <comment ref="N294" authorId="0" shapeId="0" xr:uid="{AC79D097-412F-4577-B5B5-11F92BBBD581}">
      <text>
        <r>
          <rPr>
            <b/>
            <sz val="9"/>
            <color indexed="81"/>
            <rFont val="Tahoma"/>
            <family val="2"/>
          </rPr>
          <t>dgetreu:</t>
        </r>
        <r>
          <rPr>
            <sz val="9"/>
            <color indexed="81"/>
            <rFont val="Tahoma"/>
            <family val="2"/>
          </rPr>
          <t xml:space="preserve">
calculates more than proposed $48,000</t>
        </r>
      </text>
    </comment>
    <comment ref="M618" authorId="0" shapeId="0" xr:uid="{0AA7269C-2F19-4F19-AAB2-E166D47CB965}">
      <text>
        <r>
          <rPr>
            <b/>
            <sz val="9"/>
            <color indexed="81"/>
            <rFont val="Tahoma"/>
            <family val="2"/>
          </rPr>
          <t>dgetreu:</t>
        </r>
        <r>
          <rPr>
            <sz val="9"/>
            <color indexed="81"/>
            <rFont val="Tahoma"/>
            <family val="2"/>
          </rPr>
          <t xml:space="preserve">
.3% x Adjusted annual income on Dioc PR 8771.64</t>
        </r>
      </text>
    </comment>
  </commentList>
</comments>
</file>

<file path=xl/sharedStrings.xml><?xml version="1.0" encoding="utf-8"?>
<sst xmlns="http://schemas.openxmlformats.org/spreadsheetml/2006/main" count="878" uniqueCount="597">
  <si>
    <t>2024 Convention Budget</t>
  </si>
  <si>
    <t xml:space="preserve">2024 WCP Draw </t>
  </si>
  <si>
    <t>2024 Other Funds</t>
  </si>
  <si>
    <t>2024 Consolidated Budget</t>
  </si>
  <si>
    <t>% of Budget</t>
  </si>
  <si>
    <t>Difference +/- 2023</t>
  </si>
  <si>
    <t>2023 Budget</t>
  </si>
  <si>
    <t>2022 Budget</t>
  </si>
  <si>
    <t>2022 Actual</t>
  </si>
  <si>
    <t>1-24-32105 Reserve Fund</t>
  </si>
  <si>
    <t>1-24-32110 Prior Yr Mission Share uncollectible</t>
  </si>
  <si>
    <t>1-24-34200 Endowment Distributions - (consol endow)</t>
  </si>
  <si>
    <t>1-24-34250 Distribution-Held Away Funds</t>
  </si>
  <si>
    <t>1-24-34300 CEP Annual Distrib for Bishop Salary</t>
  </si>
  <si>
    <t>1-24-34310 Bishop Residence Fund Annual Distribution</t>
  </si>
  <si>
    <t>1-24-35100 Donations - Unrestricted</t>
  </si>
  <si>
    <t>1-24-36100 Interest - Checking Account</t>
  </si>
  <si>
    <t>1-24-36150 Interest Rec'd on UBE Loan</t>
  </si>
  <si>
    <t>1-24-38120 Income for Lambeth fund (PY refund)</t>
  </si>
  <si>
    <t>1-28-34100 WCP Distribution/Xfer RTF</t>
  </si>
  <si>
    <t>1-22-33500 Rent Income - Sycamore St</t>
  </si>
  <si>
    <t>2-32-33120 BBC Retreat Income</t>
  </si>
  <si>
    <t>2-32-33130 BBC Intensive Learning Fees</t>
  </si>
  <si>
    <t>2-36-33120 Lay Preaching Program Income</t>
  </si>
  <si>
    <t>2-40-33100 School for Diaconal Formation Income</t>
  </si>
  <si>
    <t>2-46-34210 Faith in Life Endowment Distribution</t>
  </si>
  <si>
    <t>2-46-36100 Interest - Checking Account</t>
  </si>
  <si>
    <t>Release from FIL Designated Fund</t>
  </si>
  <si>
    <t>Licensed Preacher Program Fees</t>
  </si>
  <si>
    <t>4-62-34200 Endow Distribution from Blanchard Fund</t>
  </si>
  <si>
    <t>4-62-35100 Donations from Individuals-ECM</t>
  </si>
  <si>
    <t>4-62-35110 Donations from Institutions-ECM</t>
  </si>
  <si>
    <t>4-62-35120 Donations from Ep. Churches-ECM</t>
  </si>
  <si>
    <t>Release from Designated Fund - ECM</t>
  </si>
  <si>
    <t>4-62-36100 Interest - Checking Account</t>
  </si>
  <si>
    <t>4-72-34290 Xfer from BDF - Missioner Special Program</t>
  </si>
  <si>
    <t>Release from Young Adult</t>
  </si>
  <si>
    <t>Release from New Clergy Rural Ministry</t>
  </si>
  <si>
    <t>Release from Deacon Programs</t>
  </si>
  <si>
    <t>Release from Lambeth Designation</t>
  </si>
  <si>
    <t>Release from Bishop Selection/Ordination/Installation Fund</t>
  </si>
  <si>
    <t>Release from General Convention Designated Fd</t>
  </si>
  <si>
    <t>4-72-35110 Release from Missioner fund</t>
  </si>
  <si>
    <t>6-94-35100 Donations - Individuals</t>
  </si>
  <si>
    <t>6-94-35110 Release from IEES Designated Fund</t>
  </si>
  <si>
    <t>6-96-34320 Leffler Distribution for NHC</t>
  </si>
  <si>
    <t>6-96-34322 DC Resolution Income Transfer- 2022 balance</t>
  </si>
  <si>
    <t>6-96-35100 Donations - Individuals-NHC</t>
  </si>
  <si>
    <t>6-96-36100 Interest - Checking Account-NHC</t>
  </si>
  <si>
    <t>Pass Through Ministries - Transfers to Diocesan Subsidiaries</t>
  </si>
  <si>
    <t>Procter Camp &amp; Conference Center</t>
  </si>
  <si>
    <t>Church Foundation</t>
  </si>
  <si>
    <t>Total for Pass Through Ministries</t>
  </si>
  <si>
    <t>Budget Group: 1 DSO Operations/Bishop's Office
Ministry Center: 10 Bishop</t>
  </si>
  <si>
    <t>50110 Salary-Bishop</t>
  </si>
  <si>
    <t>50150 Health &amp; Dental Insurance</t>
  </si>
  <si>
    <t>50160 HSA Contributions</t>
  </si>
  <si>
    <t>50170 Life and Disability Insurance</t>
  </si>
  <si>
    <t>50180 Residence Fund earnings pd to Bishop</t>
  </si>
  <si>
    <t>50190 Pension/Retirement Contributions by DSO</t>
  </si>
  <si>
    <t>50220 Workers Compensation Insurance</t>
  </si>
  <si>
    <t>50230 Staff Meetings &amp; Fellowship Expense</t>
  </si>
  <si>
    <t>50250 Prof. Develop-training, books, courses</t>
  </si>
  <si>
    <t>50260 Lodging - Travel</t>
  </si>
  <si>
    <t>50270 Meals - travel exp</t>
  </si>
  <si>
    <t>50280 Transportation, Mileage - Travel exp</t>
  </si>
  <si>
    <t>51250 Hospitality &amp; Staff Meetings</t>
  </si>
  <si>
    <t>51360 Office supplies</t>
  </si>
  <si>
    <t>51365 Office of the Episcopate</t>
  </si>
  <si>
    <t>51370 Pastoral Expenses</t>
  </si>
  <si>
    <t>51460 Cell phone reimbursement</t>
  </si>
  <si>
    <t>Total Bishop</t>
  </si>
  <si>
    <t>Budget Group: 1 DSO Operations/Bishop's Office
Ministry Center: 12 Bishop's Support, Exec Asst &amp; Front Office</t>
  </si>
  <si>
    <t>50110 Salaries &amp; Wages</t>
  </si>
  <si>
    <t>50110-500 Salaries pd for ECM Admin</t>
  </si>
  <si>
    <t>50130 FICA taxes pd by Employer</t>
  </si>
  <si>
    <t>50140 SECA reimb - clergy</t>
  </si>
  <si>
    <t>50180 Housing Allowance Declared for Comp.</t>
  </si>
  <si>
    <t>51210 Dues &amp; Subscriptions</t>
  </si>
  <si>
    <t>51390 Postage &amp; Shipping</t>
  </si>
  <si>
    <t>Total Bishop's Support, Exec Asst, &amp; Front Office</t>
  </si>
  <si>
    <t>Budget Group: 1 DSO Operations/ Bishop's Office
Ministry Center: 14 Operations &amp; HR</t>
  </si>
  <si>
    <t>50120 Contract Labor - Database Maintenance</t>
  </si>
  <si>
    <t>50130 FICA Taxes pd by Employer</t>
  </si>
  <si>
    <t>50160 HSA Contribution</t>
  </si>
  <si>
    <t>50230 Staff Meetings/Appreciation</t>
  </si>
  <si>
    <t>50250 Prof Devel-training, books, courses</t>
  </si>
  <si>
    <t>51105 Archives</t>
  </si>
  <si>
    <t>51180 Copier Equipment/Lease</t>
  </si>
  <si>
    <t>51250 Hospitality &amp; Fellowship, Staff apprec.</t>
  </si>
  <si>
    <t>51260 HR Services/Consulting</t>
  </si>
  <si>
    <t>51460 Telecom &amp; Internet</t>
  </si>
  <si>
    <t>Total Operations</t>
  </si>
  <si>
    <t>Budget Group: 1 DSO Operations/Bishop's Office
Ministry Center: 16 Communications</t>
  </si>
  <si>
    <t>50120 Canticle Communication</t>
  </si>
  <si>
    <t>3000???</t>
  </si>
  <si>
    <t>50250 Prof Devel-Training, books, courses</t>
  </si>
  <si>
    <t>Total Compensation</t>
  </si>
  <si>
    <t>51100 Advertising</t>
  </si>
  <si>
    <t>51170 Computer HW &amp; SW, online access</t>
  </si>
  <si>
    <t>51330 Marketing &amp; Community Engagement</t>
  </si>
  <si>
    <t>51350 Minor Equipment under $ 5000, furnishings</t>
  </si>
  <si>
    <t>51400 Printing &amp; Publications</t>
  </si>
  <si>
    <t>51490 Websites, Live Streams &amp; Online Presence</t>
  </si>
  <si>
    <t>Total Communications</t>
  </si>
  <si>
    <t>Budget Group: 1 DSO Operations/Bishop's Office
Ministry Center: 18 IT &amp; Systems</t>
  </si>
  <si>
    <t>51170 Computer HW &amp; SW</t>
  </si>
  <si>
    <t>51170-200 Computer HW &amp; SW pd from WCP</t>
  </si>
  <si>
    <t>51290 IT Consulting &amp; Outsourced Services</t>
  </si>
  <si>
    <t>51290-200 IT Consulting/Outsourced Svc alloc to WCP</t>
  </si>
  <si>
    <t>51350 Minor Equipment  $ 5000</t>
  </si>
  <si>
    <t>Total IT &amp; Systems</t>
  </si>
  <si>
    <t>Budget Group: 1 DSO Operations/Bishop's Office
Ministry Center: 20 Finance</t>
  </si>
  <si>
    <t>50140 SECA - clergy</t>
  </si>
  <si>
    <t>50160 HSA Contribution - byrnside?</t>
  </si>
  <si>
    <t>50170 Life &amp; Disability Insurance</t>
  </si>
  <si>
    <t>51170 HW &amp; SW - Shelby Next Qtrly Fees</t>
  </si>
  <si>
    <t>51380 Payroll Processing/Benefits Admin exp</t>
  </si>
  <si>
    <t>Total Finance</t>
  </si>
  <si>
    <t>Budget Group: 1 DSO Operations/Bishop's Office
Ministry Center: 22 Facility @ 412 Sycamore</t>
  </si>
  <si>
    <t>50120 Facilities Assistant</t>
  </si>
  <si>
    <t>50280 Transportation - Mileage</t>
  </si>
  <si>
    <t>51250 Kitchen &amp; Coffee supplies</t>
  </si>
  <si>
    <t>52200 Cleaning &amp; Custodial</t>
  </si>
  <si>
    <t>52210 Insurance - Liability &amp; Property</t>
  </si>
  <si>
    <t>52215 Landscaping &amp; Grounds Maintenance</t>
  </si>
  <si>
    <t>52218 Leased/Rented Equipment</t>
  </si>
  <si>
    <t>52230 Repairs &amp; Maintenance</t>
  </si>
  <si>
    <t>52235 Security/Monitoring</t>
  </si>
  <si>
    <t>52240 Utilities</t>
  </si>
  <si>
    <t>52250 Water/Sewer Service</t>
  </si>
  <si>
    <t>52255 Waste Removal/Trash Pickup</t>
  </si>
  <si>
    <t>52275 St. Paul's Chapel - Repairs &amp; Maint</t>
  </si>
  <si>
    <t>Total Facility</t>
  </si>
  <si>
    <t>Budget Group: 1 DSO Operations/Bishop's Office
Ministry Center: 24 Organization/Institution</t>
  </si>
  <si>
    <t>50300 Retiree Insurance Expense</t>
  </si>
  <si>
    <t>51110 Audit &amp; Actuarial Expense</t>
  </si>
  <si>
    <t>51110-200 Audit exp paid alloc to Investments/WCP</t>
  </si>
  <si>
    <t>51130 Bank Service Fees</t>
  </si>
  <si>
    <t>51132 Bishop Selection/Ordination/Installation</t>
  </si>
  <si>
    <t>51135 Shelby Processing/PNC Credit Card Expenses</t>
  </si>
  <si>
    <t>51140 Chancellor/Treasurer's Office</t>
  </si>
  <si>
    <t>51215 ECW</t>
  </si>
  <si>
    <t>51250 Meeting Exp - Trustee Meetings</t>
  </si>
  <si>
    <t>51300 Legal Services</t>
  </si>
  <si>
    <t>51355 National Church Pledge</t>
  </si>
  <si>
    <t>51458 Standing Committee expenses</t>
  </si>
  <si>
    <t>51485 UBE</t>
  </si>
  <si>
    <t>Total Institution</t>
  </si>
  <si>
    <t>Budget Group: 1 DSO Operations/Bishop's Office
Ministry Center: 26 Sesquicentennial</t>
  </si>
  <si>
    <t>Data Storage &amp; Collateral Material</t>
  </si>
  <si>
    <t>Consulting, Travel &amp; Expenses</t>
  </si>
  <si>
    <t>Comprehensive Diocesan History Project</t>
  </si>
  <si>
    <t>Total Sesquicentennial</t>
  </si>
  <si>
    <t>Budget Group: 1 DSO Operations/Bishop's Office
Ministry Center: 28 Reparations Task Force</t>
  </si>
  <si>
    <t>50110 Salary &amp; Wages</t>
  </si>
  <si>
    <t>50120 Consultants &amp; Contract Labor</t>
  </si>
  <si>
    <t>50200 Relocation Costs</t>
  </si>
  <si>
    <t>50205 Task Force Expenses-other, not consultants</t>
  </si>
  <si>
    <t>50280 Pastoral &amp; Travel Expense</t>
  </si>
  <si>
    <t>Total Reparations Task Force</t>
  </si>
  <si>
    <t>Budget Group: 2 Formation
Ministry Center: 30 Formation Office</t>
  </si>
  <si>
    <t>50110-200 Formation Team alloc to WCP</t>
  </si>
  <si>
    <t>50140 SECA reimb - Clergy</t>
  </si>
  <si>
    <t>50250 Prof Develop- training, books, courses</t>
  </si>
  <si>
    <t>51160 Courses &amp; Education Expense</t>
  </si>
  <si>
    <t>51170 Computer HW, SW &amp; Online access</t>
  </si>
  <si>
    <t>51250 Hospitality, Fellowship, Meetings</t>
  </si>
  <si>
    <t>51330 Marketing &amp; Promotion</t>
  </si>
  <si>
    <t>51335 Peace &amp; Reconciliation Events</t>
  </si>
  <si>
    <t>51335-1 Peace &amp; Reconciliation Events -</t>
  </si>
  <si>
    <t>51442 Safe Church Training &amp; Tracking</t>
  </si>
  <si>
    <t>51460 Cell Phone Reimbursement</t>
  </si>
  <si>
    <t>51470 New Episcopal Communities - 2-48</t>
  </si>
  <si>
    <t>51490 Websites &amp; Online Presence</t>
  </si>
  <si>
    <t>Total Formation</t>
  </si>
  <si>
    <t>Budget Group: 2 Formation
Ministry Center: 32 Becoming Beloved Community</t>
  </si>
  <si>
    <t>50120 Contract Labor</t>
  </si>
  <si>
    <t>50120-200 Contractor exp alloc to WCP</t>
  </si>
  <si>
    <t>50120-201 Contract Labor from FIL Draw</t>
  </si>
  <si>
    <t>50230 Staff Meetings &amp; Fellowship</t>
  </si>
  <si>
    <t>50250 Prof Develop - training, books, course</t>
  </si>
  <si>
    <t>50270 Meals</t>
  </si>
  <si>
    <t>50280 Transportation/Mileage - Travel exp</t>
  </si>
  <si>
    <t>51100 Reimagining Process 2.0</t>
  </si>
  <si>
    <t>51290 IT Consulting (Videographer)</t>
  </si>
  <si>
    <t>51330 (Intensive Learning)</t>
  </si>
  <si>
    <t>51450 Story Sharing</t>
  </si>
  <si>
    <t>51455 Collaborative Leadership Formation</t>
  </si>
  <si>
    <t>51460 DONT USE see 51455</t>
  </si>
  <si>
    <t>51490 Absalom Jones Symposium</t>
  </si>
  <si>
    <t>Total Becoming Beloved Community</t>
  </si>
  <si>
    <t>Budget Group: 2 Formation
Ministry Center: 34 Campus Ministry</t>
  </si>
  <si>
    <t>50250 Prof. Devel-Training, books, courses</t>
  </si>
  <si>
    <t>51250 Staff Meetings &amp; Fellowship Expense</t>
  </si>
  <si>
    <t>Total Campus Ministry</t>
  </si>
  <si>
    <t>Budget Group: 2 Formation
Ministry Center: 36 Education/Licensed Ministry programs</t>
  </si>
  <si>
    <t>50120-200 Contract Labor - Licensing Ministry</t>
  </si>
  <si>
    <t>51160 EFM Program Fee</t>
  </si>
  <si>
    <t>51160-300 Licensed Ministry Educ exp pd from spec fund</t>
  </si>
  <si>
    <t>51360 Administration</t>
  </si>
  <si>
    <t>51480 EFM Tuition Support &amp; Scholarships</t>
  </si>
  <si>
    <t>51480-1 Tuition Support &amp; Scholarships -</t>
  </si>
  <si>
    <t>51490 Licensed Ministry Training</t>
  </si>
  <si>
    <t>51490-1 Lay Preaching -    FIL</t>
  </si>
  <si>
    <t>Total Education &amp; Licensed Ministries</t>
  </si>
  <si>
    <t>Budget Group: 2 Formation
Ministry Center: 40 Diaconal School</t>
  </si>
  <si>
    <t>50120 Contract Labor - Instructors</t>
  </si>
  <si>
    <t>50260 Lodging</t>
  </si>
  <si>
    <t>51160 Classes and Education Expense</t>
  </si>
  <si>
    <t>51160-1 Classes and Education Expense -</t>
  </si>
  <si>
    <t>51445 School for Diaconal Formation</t>
  </si>
  <si>
    <t>Total Diaconal School</t>
  </si>
  <si>
    <t>Budget Group: 2 Formation
Ministry Center: 44 Family Formation &amp; Youth</t>
  </si>
  <si>
    <t>50120 Contract and Temporary Labor</t>
  </si>
  <si>
    <t>50130 FICA taxes paid by Employer</t>
  </si>
  <si>
    <t>50260 Lodging Travel</t>
  </si>
  <si>
    <t>50280 Transportation/Mileage - Travel Exp</t>
  </si>
  <si>
    <t>50290 Catering &amp; Food for Events</t>
  </si>
  <si>
    <t>51160 Courses &amp; Education Expenses</t>
  </si>
  <si>
    <t>51250 Fellowship/Meetings-Youth/Young Adult Min.</t>
  </si>
  <si>
    <t>51335 Mission Trips - Pilgrimage</t>
  </si>
  <si>
    <t>51450 Speakers/Events/Workshops</t>
  </si>
  <si>
    <t>51460 Telecom/Cell Phone</t>
  </si>
  <si>
    <t>51490 Online Presence &amp; Ads</t>
  </si>
  <si>
    <t>51520 Youth Engagment/YEDI</t>
  </si>
  <si>
    <t>51525 Youth/Young Adult Pilgrimage via budget</t>
  </si>
  <si>
    <t>Total Family &amp; Youth Formation</t>
  </si>
  <si>
    <t>Budget Group: 2 Formation
Ministry Center: 46 Faith In Life (FIL)</t>
  </si>
  <si>
    <t>50270 don't use - see 2-46-51250</t>
  </si>
  <si>
    <t>FIL Events</t>
  </si>
  <si>
    <t>Small Grants</t>
  </si>
  <si>
    <t>Large Project Grants</t>
  </si>
  <si>
    <t>Additional Formation Projects</t>
  </si>
  <si>
    <t>Bridging Bitter Divides</t>
  </si>
  <si>
    <t>Holy Land Pilgrimage Admin Costs</t>
  </si>
  <si>
    <t>Pilgrimage Grants</t>
  </si>
  <si>
    <t>Grants - Absalom Jones, A Mighty Stream, Faith Communities Go Green</t>
  </si>
  <si>
    <t>xxxx-200 Grants - Absalom Jones, A Mighty Stream, Faith Communities Go Green</t>
  </si>
  <si>
    <t>Juneteenth Festival</t>
  </si>
  <si>
    <t>Creation Care</t>
  </si>
  <si>
    <t>Creation Care Camp - Summer</t>
  </si>
  <si>
    <t>Youth Ministry</t>
  </si>
  <si>
    <t>Regional Story-Sharing Events</t>
  </si>
  <si>
    <t>Fall Evangelism Summit</t>
  </si>
  <si>
    <t>51130 Bank fees/analysis charges</t>
  </si>
  <si>
    <t>51230 Grants to DSO churches &amp; affiliates</t>
  </si>
  <si>
    <t>51231 Grant-Licensed Preacher/Evangelist Cohort</t>
  </si>
  <si>
    <t>51232 Live Stream Grants from Designated Fund</t>
  </si>
  <si>
    <t>51233 Licensed Ministry Grants</t>
  </si>
  <si>
    <t>51450 Speaker Fees/Events/Education</t>
  </si>
  <si>
    <t>51460 DON'T USE - see 46-51450</t>
  </si>
  <si>
    <t>Total Faith In Life</t>
  </si>
  <si>
    <t>Budget Group: 2 Formation
Ministry Center: 48 New Episcopal Communities</t>
  </si>
  <si>
    <t>50230 Hopsitality, Fellowship &amp; Meetings</t>
  </si>
  <si>
    <t>50250 Prof Dev - training, books, courses</t>
  </si>
  <si>
    <t>51360 Office Supplies</t>
  </si>
  <si>
    <t>51455 Space Rental</t>
  </si>
  <si>
    <t>51470 New Episcopal Communities-PLUG</t>
  </si>
  <si>
    <t>Total New Episcopal Communities</t>
  </si>
  <si>
    <t>Totals for 2 Formation</t>
  </si>
  <si>
    <t>Budget Group: 3 Ordained/Licensed Ministries
Ministry Center: 50 Commission on Ministry</t>
  </si>
  <si>
    <t>50120 Contract Chaplain to Seminarians &amp; mileage</t>
  </si>
  <si>
    <t>51120 Background Checks</t>
  </si>
  <si>
    <t>51160 Courses, Education, Testing</t>
  </si>
  <si>
    <t>51250 Hospitality &amp; Fellowship</t>
  </si>
  <si>
    <t>51260 HR Services Psychological Eval</t>
  </si>
  <si>
    <t>51390 Office Expense</t>
  </si>
  <si>
    <t>Total Commission on Ministry</t>
  </si>
  <si>
    <t>Budget Group: 3 Ordained/Licensed Ministries
Ministry Center: 52 Deacon &amp; Priests Programs</t>
  </si>
  <si>
    <t>35100 Donations</t>
  </si>
  <si>
    <t/>
  </si>
  <si>
    <t>51248 Community of Deacons</t>
  </si>
  <si>
    <t>51248-1 Community of Deacons -</t>
  </si>
  <si>
    <t>51250 Fresh Start - Meetings</t>
  </si>
  <si>
    <t>51480 Clergy Formation</t>
  </si>
  <si>
    <t>Total Deacons &amp; Priests Programs</t>
  </si>
  <si>
    <t>Budget Group: 3 Ordained/Licensed Ministries
Ministry Center: 54 Ordination Ceremonies</t>
  </si>
  <si>
    <t>51400 Printing</t>
  </si>
  <si>
    <t>51500 Worship Expenses</t>
  </si>
  <si>
    <t>Total Ordinations Exp</t>
  </si>
  <si>
    <t>Budget Group: 3 Ordained/Licensed Ministries
Ministry Center: 56 New Clergy Program &amp; Placement</t>
  </si>
  <si>
    <t>50110-1 Salary &amp; Wages -</t>
  </si>
  <si>
    <t>50120 Contract Labor-Mentors</t>
  </si>
  <si>
    <t>50125 Financial Support for Clergy at Parishes</t>
  </si>
  <si>
    <t>50140 SECA reimb to Clergy</t>
  </si>
  <si>
    <t>51250 New Clergy Meetings</t>
  </si>
  <si>
    <t>Total New Clergy Program &amp; Placement</t>
  </si>
  <si>
    <t>Budget Group: 3 Ordained/Licensed Ministries
Ministry Center: 58 Retired Clergy</t>
  </si>
  <si>
    <t>50120 Contract Labor- Chaplains &amp; mileage</t>
  </si>
  <si>
    <t>Total Retired Clergy</t>
  </si>
  <si>
    <t>Totals for 3 Ordained/Licensed Ministries</t>
  </si>
  <si>
    <t>Budget Group: 4 Outreach &amp; Ministry Support
Ministry Center: 60 Grants/Outreach via WCP endowment</t>
  </si>
  <si>
    <t>50125 Allocated labor - Secretarial Support</t>
  </si>
  <si>
    <t>51218 Finance Fund Payments to WCP</t>
  </si>
  <si>
    <t>51220 WCP Grants by Bishop</t>
  </si>
  <si>
    <t>51360 Office Supplies/Meeting Exp</t>
  </si>
  <si>
    <t>51400 Latino Ministry see 6-94</t>
  </si>
  <si>
    <t>Total Grants/Outreach via WCP</t>
  </si>
  <si>
    <t>Budget Group: 4 Outreach &amp; Ministry Support
Ministry Center: 62 E C M</t>
  </si>
  <si>
    <t>50125 Allocated/Shared Labor</t>
  </si>
  <si>
    <t>51135 Credit Card Processing Expenses</t>
  </si>
  <si>
    <t>Total ECM</t>
  </si>
  <si>
    <t>Budget Group: 4 Outreach &amp; Ministry Support
Ministry Center: 64 Commission on Congregational Life</t>
  </si>
  <si>
    <t>51230-200 COCL grants alloc to WCP</t>
  </si>
  <si>
    <t>51450 Church Ministry Workshop</t>
  </si>
  <si>
    <t xml:space="preserve">51450-200 Church Ministry Workshop </t>
  </si>
  <si>
    <t>Total COCL</t>
  </si>
  <si>
    <t>Budget Group: 4 Outreach &amp; Ministry Support
Ministry Center: 65 Commission on Race</t>
  </si>
  <si>
    <t>51440 Relationships and Support</t>
  </si>
  <si>
    <t>Total Commission on Race</t>
  </si>
  <si>
    <t>Budget Group: 4 Outreach &amp; Ministry Support
Ministry Center: 66 Ecumenical Partners</t>
  </si>
  <si>
    <t>EquaSion - Festival of Faiths - ERIC</t>
  </si>
  <si>
    <t>Travel to OCC - ERIC</t>
  </si>
  <si>
    <t>National Workshop on Christian Unity - ERIC</t>
  </si>
  <si>
    <t>51440 Relationships &amp; Support (Sycamore Commons)</t>
  </si>
  <si>
    <t>Total Ecumenical Partners</t>
  </si>
  <si>
    <t>Budget Group: 4 Outreach &amp; Ministry Support
Ministry Center: 72 Missioners</t>
  </si>
  <si>
    <t>50110-1 Salaries &amp; Wages - designated fund</t>
  </si>
  <si>
    <t>50125 Financial support for Clergy at Parishes</t>
  </si>
  <si>
    <t>Total Missioner Costs</t>
  </si>
  <si>
    <t>Totals for 4 Outreach &amp; Ministry Support</t>
  </si>
  <si>
    <t>Budget Group: 5 Governance &amp; TEC Membership
Ministry Center: 80 Provincial Synod</t>
  </si>
  <si>
    <t>50250 Prof Devel /Conference fees</t>
  </si>
  <si>
    <t>50260 Lodging - Travel exp</t>
  </si>
  <si>
    <t>50280 Transportation/Mileage-Travel exp</t>
  </si>
  <si>
    <t>51210 Dues &amp; Assessments</t>
  </si>
  <si>
    <t>Total Provincial Synod</t>
  </si>
  <si>
    <t>Budget Group: 5 Governance &amp; TEC Membership
Ministry Center: 82 General Convention &amp; Lambeth - periodic</t>
  </si>
  <si>
    <t>50250 Prof Devel/Conference Fees</t>
  </si>
  <si>
    <t>50252 Gen Convention Set aside to Designated</t>
  </si>
  <si>
    <t>50270 Meals - Travel exp</t>
  </si>
  <si>
    <t>50280 Transportation/Mileage - Travel Exp.</t>
  </si>
  <si>
    <t>51295 Lambeth expenses - all</t>
  </si>
  <si>
    <t>Total Governance/TEC</t>
  </si>
  <si>
    <t>Budget Group: 5 Governance &amp; TEC Membership
Ministry Center: 86 Diocesan Convention (Annual)</t>
  </si>
  <si>
    <t>51360 Supplies/Misc for Convention</t>
  </si>
  <si>
    <t>51455 Space/Room Rental</t>
  </si>
  <si>
    <t>Total DSO Convention</t>
  </si>
  <si>
    <t>Budget Group: 5 Governance &amp; TEC Membership
Ministry Center: 88 Diocesan Council</t>
  </si>
  <si>
    <t>50260 Lodging - Travel exp (retreat)</t>
  </si>
  <si>
    <t>50270 Meals - Travel exp (retreat)</t>
  </si>
  <si>
    <t>51170 Computer HW/SW, AV equipment</t>
  </si>
  <si>
    <t>51200 Creation Care</t>
  </si>
  <si>
    <t>51200-1 Creation Care - FIL</t>
  </si>
  <si>
    <t>51250 Hospitality &amp; Fellowship, Mtg supplies</t>
  </si>
  <si>
    <t>51610 DC Resolution -Sustainable Devel. Grant SDG</t>
  </si>
  <si>
    <t>51620 DC Resolution - New Church Starts</t>
  </si>
  <si>
    <t>51622 DC Res-New Church Starts for New Hope</t>
  </si>
  <si>
    <t>Total Diocesan Council</t>
  </si>
  <si>
    <t>Totals for 5 Governance &amp; TEC Membership</t>
  </si>
  <si>
    <t>Budget Group: 6 Transitions
Ministry Center: 90 Canon for Transitions</t>
  </si>
  <si>
    <t>50120 Contract Labor - Transitions consultant</t>
  </si>
  <si>
    <t>50200 Relocation costs paid by DSO</t>
  </si>
  <si>
    <t>50220 Workers Comp. Insurance</t>
  </si>
  <si>
    <t>50230 Staff Meeting Exp/Appreciation</t>
  </si>
  <si>
    <t>51120 Background Checks &amp; Testing</t>
  </si>
  <si>
    <t>Total Canon for Transitions</t>
  </si>
  <si>
    <t>Budget Group: 6 Congregational Ministries
Ministry Center: 91 Transitions Office</t>
  </si>
  <si>
    <t>50250 Prof Develop-Training, books, courses</t>
  </si>
  <si>
    <t>Total Transitions Admin &amp; Office</t>
  </si>
  <si>
    <t>Budget Group: 6 Congregational Ministries
Ministry Center: 94 Latino Ministry</t>
  </si>
  <si>
    <t>50120-2 Contract Labor</t>
  </si>
  <si>
    <t>Latino Ministry Task Force</t>
  </si>
  <si>
    <t>51160 Education / outreach</t>
  </si>
  <si>
    <t>51160-2 Education/Outreach</t>
  </si>
  <si>
    <t>51210 Other Administrative</t>
  </si>
  <si>
    <t>51300 Licenses/Permits</t>
  </si>
  <si>
    <t>51340 Music and Musicians</t>
  </si>
  <si>
    <t>51350 Minor Equipment  under $ 5000</t>
  </si>
  <si>
    <t>51390 Worship Supplies</t>
  </si>
  <si>
    <t>51500 Alarm System</t>
  </si>
  <si>
    <t>Total Latino Ministry Exp</t>
  </si>
  <si>
    <t>Budget Group: 6 Congregational Ministries
Ministry Center: 96 New Hope (mission)</t>
  </si>
  <si>
    <t>50120 Contract Clergy exp</t>
  </si>
  <si>
    <t>50280 Transportation, Mileage - Travel Exp</t>
  </si>
  <si>
    <t>51135 Credit Card/Online Processing Expense</t>
  </si>
  <si>
    <t>51210 Christian Education</t>
  </si>
  <si>
    <t>51330 Outreach Ministry</t>
  </si>
  <si>
    <t>51360 Church Administration</t>
  </si>
  <si>
    <t>Total New Hope Total exp</t>
  </si>
  <si>
    <t>Budget Group: 6 Congregational Ministries
Ministry Center: 98 Parish Support</t>
  </si>
  <si>
    <t>51110 Audit, Tax &amp; Finance Services</t>
  </si>
  <si>
    <t>51110-200 Parish Fin support alloc to WCP</t>
  </si>
  <si>
    <t>51210 Membership- The Epis Network of Stewardship</t>
  </si>
  <si>
    <t>51260-200 HR support-parishes- alloc to WCP</t>
  </si>
  <si>
    <t>51330 Community Engagement Grants</t>
  </si>
  <si>
    <t>51450 Speakers/Retreats/Education</t>
  </si>
  <si>
    <t>51460 Retreats/Lectures/Educ. Workshops offered</t>
  </si>
  <si>
    <t>51460-200 Workshops alloc to WCP</t>
  </si>
  <si>
    <t>52230 Parish building assessments</t>
  </si>
  <si>
    <t>52230-200 Parish bldg assessments alloc to WCP</t>
  </si>
  <si>
    <t>Total Direct Support Parish Exp</t>
  </si>
  <si>
    <t>Totals for 6 Transitions &amp; Congregational Ministries</t>
  </si>
  <si>
    <t>Totals for Operating Expenses</t>
  </si>
  <si>
    <t>Release from DIO Expense Inv Account(1334)</t>
  </si>
  <si>
    <t>(included with Transitions Office)</t>
  </si>
  <si>
    <t>2025 WCP</t>
  </si>
  <si>
    <t>1-24-34100 WCP Annual Draw Rate 3.75%</t>
  </si>
  <si>
    <t>2025 Convention</t>
  </si>
  <si>
    <t>2025 Consolidated Budget</t>
  </si>
  <si>
    <t>2025 Other Funds</t>
  </si>
  <si>
    <t>Percent of Budget</t>
  </si>
  <si>
    <t>special purpose account - pass through self balancing color codes Rev &amp; Exp</t>
  </si>
  <si>
    <t>51401 Printing &amp; Publications</t>
  </si>
  <si>
    <t>50280 Travel exp - Seminarians / Chaplains</t>
  </si>
  <si>
    <t>Moved to Canon of the Ordinary</t>
  </si>
  <si>
    <t>51230 Pre-ordination retreat</t>
  </si>
  <si>
    <t>broken out per Bishop's request</t>
  </si>
  <si>
    <t>51110 Catherdal Staff</t>
  </si>
  <si>
    <t>51450 Honoraia</t>
  </si>
  <si>
    <t>51280 Parking</t>
  </si>
  <si>
    <t>51120 Photographer</t>
  </si>
  <si>
    <t>51250 Hospitality/Clergy Fellowship</t>
  </si>
  <si>
    <t>51455 Conference Room</t>
  </si>
  <si>
    <t>50120 Consultants</t>
  </si>
  <si>
    <t>50280 Travel</t>
  </si>
  <si>
    <t>51250 Educational Materials</t>
  </si>
  <si>
    <t>Total  College for Congregational Development</t>
  </si>
  <si>
    <t>Budget Group: 2 Formation
Ministry Center: 29  College for Congregational Development</t>
  </si>
  <si>
    <t>51260 Clergy Gatherings-Lodging</t>
  </si>
  <si>
    <t>51260 Clergy Gatherings-Travel</t>
  </si>
  <si>
    <t>50270 Clergy Gatherings-Food</t>
  </si>
  <si>
    <t>51250 Hospitality</t>
  </si>
  <si>
    <t>51490 Website &amp; Online Presence</t>
  </si>
  <si>
    <t>51491 Speaker Fees</t>
  </si>
  <si>
    <t>50120 Consultants / Contractors</t>
  </si>
  <si>
    <t>50260 Lodging / Travel</t>
  </si>
  <si>
    <t>50280 Mileage / Travel</t>
  </si>
  <si>
    <t>51230-1  Grants within Diocese - Cincinnati</t>
  </si>
  <si>
    <t>51230-2 Grants within Diocese - Columbus</t>
  </si>
  <si>
    <t>51230-4 Grants within Diocese - Dayton</t>
  </si>
  <si>
    <t>51450 - Speakers /Events/Education</t>
  </si>
  <si>
    <t>51460 Retreats,  Workshops, phones</t>
  </si>
  <si>
    <t>51250 Fellowship/Meeetings</t>
  </si>
  <si>
    <t>Funded from 34210 FIL Endow Dist 0f $88,761</t>
  </si>
  <si>
    <t>512202       All Creation Grove City (new start)</t>
  </si>
  <si>
    <t>Subject to Bishop's approval</t>
  </si>
  <si>
    <t xml:space="preserve"> 51220 New Episcopal Community Grants</t>
  </si>
  <si>
    <t>51450 Retreats/Workshops/Projects</t>
  </si>
  <si>
    <t>51165 Outreach Food Pantry@IEES</t>
  </si>
  <si>
    <t>covers pride festivals + other festivals of faith</t>
  </si>
  <si>
    <t>51290- IT Consulting &amp; Oursourced Services</t>
  </si>
  <si>
    <t>Increase in comp approved by bishop for Advent (cost increase $2800)</t>
  </si>
  <si>
    <t>Needed to add, not in budget request</t>
  </si>
  <si>
    <t>50280 Travel Mileage for Instructors</t>
  </si>
  <si>
    <t>major funder of ECM program</t>
  </si>
  <si>
    <t>51250 Worship &amp; Fellowship Meetings</t>
  </si>
  <si>
    <t>Whiting Turst + Sebold Trust</t>
  </si>
  <si>
    <t>512213       All Saints Cincinnati (restart)</t>
  </si>
  <si>
    <t xml:space="preserve">$177K for continuing grants ONLY </t>
  </si>
  <si>
    <t>1-24-32100 Mission Share Formula Estimate (at 100%)</t>
  </si>
  <si>
    <t>MS estimate less a 0% deduction for bad debt</t>
  </si>
  <si>
    <t>Ethan Stone funds - Bishop's decision - assume approved</t>
  </si>
  <si>
    <t>Actuals: $12K in 2020, and $2K/ yr in 2019, 2018, and 2017, CEP funded</t>
  </si>
  <si>
    <t>CEP pays for all bishop expenses except for pension</t>
  </si>
  <si>
    <t>New Missioner for campus ministry</t>
  </si>
  <si>
    <t>WCP #3 Advance the Church's work</t>
  </si>
  <si>
    <t>WCP #4 Advance parish program &amp; mission development</t>
  </si>
  <si>
    <t>WCP #2 Assistance &amp; support of clergy development</t>
  </si>
  <si>
    <t>Speakers request reduced to match funds available</t>
  </si>
  <si>
    <t>Release of IEES funds of $100K</t>
  </si>
  <si>
    <t>Funding is ending on Decenber 31, 2024</t>
  </si>
  <si>
    <t>51330-1 LGBTQ+ Programing Ministry Event</t>
  </si>
  <si>
    <t>New Program: Clergy Gatherings -</t>
  </si>
  <si>
    <t>Bishop's request WCP #2 Assistance and support of clegy development</t>
  </si>
  <si>
    <t>Estimated from prior year at 25% of total compensation</t>
  </si>
  <si>
    <t>WCP #2 Assistance and support of clegy development</t>
  </si>
  <si>
    <t xml:space="preserve">Estimated from other income </t>
  </si>
  <si>
    <t>51220 MARCC and Ohio Council of Churches MARCC @ $22K &amp;  OCC @  $30K</t>
  </si>
  <si>
    <t>TEC EDEIO Network (PB ask)</t>
  </si>
  <si>
    <t>Program funding ends 12/31/2024</t>
  </si>
  <si>
    <t>Funded from BDF in prior years</t>
  </si>
  <si>
    <t>IEES moved to NEC 2-48 per Jason Oden</t>
  </si>
  <si>
    <t>Funding for New Hope ending on 12/31/24. IEES transferred to NEC</t>
  </si>
  <si>
    <t>Check</t>
  </si>
  <si>
    <t xml:space="preserve"> $25K for ongoing R&amp;M</t>
  </si>
  <si>
    <t xml:space="preserve">Add Chatechism of Place -WCP #3 Grants for the Church's work as distinguished from established work covered by the operatng budget </t>
  </si>
  <si>
    <t xml:space="preserve">1-24-33600-4 Misc. Income: </t>
  </si>
  <si>
    <t>Surplus/(Deficit)</t>
  </si>
  <si>
    <t>WCP Grants eliminated for 2025</t>
  </si>
  <si>
    <t xml:space="preserve">Budget Group: 2 Formation Staff
Ministry Center: 30 Formation Office </t>
  </si>
  <si>
    <t>Budget Group: 2 Formation Staff
Ministry Center: 32 Becoming Beloved Community</t>
  </si>
  <si>
    <t xml:space="preserve"> Total Staff Compensation </t>
  </si>
  <si>
    <t>Budget Group: 2 Formation Staff
Ministry Center: 34 Campus Ministry</t>
  </si>
  <si>
    <t>Totals for 1 DSO Operations/Bishop's Office &amp; DSO Staff</t>
  </si>
  <si>
    <t>Budget Group: 2 Formation Staff
Ministry Center: 44 Family Formation &amp; Youth</t>
  </si>
  <si>
    <t>Budget Group: 2 Formation Staff
Ministry Center: 48 New Episcopal Communities</t>
  </si>
  <si>
    <t>Budget Group: 6 Congregational Ministries Staff
Ministry Center: 91 Transitions Office</t>
  </si>
  <si>
    <t>Budget Item</t>
  </si>
  <si>
    <t>Percent of Total</t>
  </si>
  <si>
    <t>512201       Cincinnati (new start)</t>
  </si>
  <si>
    <t>Formation</t>
  </si>
  <si>
    <t>Budget Group</t>
  </si>
  <si>
    <t>Ordained and Licensed Ministries</t>
  </si>
  <si>
    <t>Outreach &amp; Ministry Support</t>
  </si>
  <si>
    <t>Governance and TEC Membership</t>
  </si>
  <si>
    <t>Transitions &amp; Congregational Ministries</t>
  </si>
  <si>
    <t xml:space="preserve">Consolidation of DSO Staff Compensation </t>
  </si>
  <si>
    <t>check</t>
  </si>
  <si>
    <t>difference</t>
  </si>
  <si>
    <t>DSO Staff Allocated to Ministries</t>
  </si>
  <si>
    <t>USES OF FUNDS</t>
  </si>
  <si>
    <t>SOURCES OF FUNDS</t>
  </si>
  <si>
    <t>Convention</t>
  </si>
  <si>
    <t>WCP</t>
  </si>
  <si>
    <t>Other Funds</t>
  </si>
  <si>
    <t>Consolidated Budget</t>
  </si>
  <si>
    <t>Total</t>
  </si>
  <si>
    <t>CEP fund for all comp except pension</t>
  </si>
  <si>
    <t>New initiative $5K from DSO, $5K from Cathedral and require final $5K raised from local parishes</t>
  </si>
  <si>
    <t xml:space="preserve">National church assessment </t>
  </si>
  <si>
    <t xml:space="preserve">R2018-2: 2% of MS dedicated to planting/restarting congregations.  $160,100 of 6.6% of expecred MS income, allocated to new  &amp; restart congregations in  2-46, </t>
  </si>
  <si>
    <t>Bishop's Office, DSO Staff &amp; 412</t>
  </si>
  <si>
    <t>Bishop's Office  &amp; 412</t>
  </si>
  <si>
    <t>julie</t>
  </si>
  <si>
    <t>katie</t>
  </si>
  <si>
    <t>ave bal ~$4.2 M current interest rate 4.5% drop to 4.0%</t>
  </si>
  <si>
    <t xml:space="preserve"> FIL release to cover 1-26, 150-yr</t>
  </si>
  <si>
    <t>trustee endowent to cover admin work</t>
  </si>
  <si>
    <t>Latino ministry, had a carry forward,  current bal $100k.</t>
  </si>
  <si>
    <t>HC estimated increase</t>
  </si>
  <si>
    <t xml:space="preserve">release from FIL per note on 2.46 budget request </t>
  </si>
  <si>
    <t>.</t>
  </si>
  <si>
    <t>Consolidated Budget Dollar Change  2025/2024</t>
  </si>
  <si>
    <t>Budget</t>
  </si>
  <si>
    <t>YTD Actual</t>
  </si>
  <si>
    <t>YTD Budget</t>
  </si>
  <si>
    <t>2024 through 6/30/24</t>
  </si>
  <si>
    <t>Grossed Up Actual</t>
  </si>
  <si>
    <t>2025 BES Budget</t>
  </si>
  <si>
    <t>Bish Trans</t>
  </si>
  <si>
    <t>2024 Bishop Transition</t>
  </si>
  <si>
    <t>2025</t>
  </si>
  <si>
    <t>actual total</t>
  </si>
  <si>
    <t>Monthly Actual</t>
  </si>
  <si>
    <t>Trans Mo Actual</t>
  </si>
  <si>
    <t>Annualized</t>
  </si>
  <si>
    <t>annualized w/COLA</t>
  </si>
  <si>
    <t>transition annualized with cola</t>
  </si>
  <si>
    <t>bishops expense</t>
  </si>
  <si>
    <t>less housing</t>
  </si>
  <si>
    <t>plus lambuth</t>
  </si>
  <si>
    <t>CEP Draw</t>
  </si>
  <si>
    <t>Salaries increased at 3.0% and Health Insurance increased at 3.1%</t>
  </si>
  <si>
    <t>2025 comp estimated using 2024 increased by 3.0%, HC increased by 3.1%</t>
  </si>
  <si>
    <t>1-24-33600 Misc. Income</t>
  </si>
  <si>
    <t>Total Income for DSO Programs</t>
  </si>
  <si>
    <t>comp  2024 increased by 3.0% with a 3.1% increase for health insurance</t>
  </si>
  <si>
    <t xml:space="preserve">Total DSO Income </t>
  </si>
  <si>
    <t>Total Income for Programs/Operations</t>
  </si>
  <si>
    <t>Brad's 2025 Budget Notes and Comments</t>
  </si>
  <si>
    <t>Expenses of the Diocese</t>
  </si>
  <si>
    <t>wcp</t>
  </si>
  <si>
    <t>#1</t>
  </si>
  <si>
    <t>formation</t>
  </si>
  <si>
    <t>#2</t>
  </si>
  <si>
    <t>#3</t>
  </si>
  <si>
    <t>procter camp</t>
  </si>
  <si>
    <t>chruch foundation</t>
  </si>
  <si>
    <t xml:space="preserve">Ordained </t>
  </si>
  <si>
    <t>COM</t>
  </si>
  <si>
    <t>deacon school</t>
  </si>
  <si>
    <t>D&amp;P pgm</t>
  </si>
  <si>
    <t>pre-ord</t>
  </si>
  <si>
    <t>Ed &amp; Licensed</t>
  </si>
  <si>
    <t>New Clergy placement</t>
  </si>
  <si>
    <t>bsihop office</t>
  </si>
  <si>
    <t>formation staff</t>
  </si>
  <si>
    <t>RFT</t>
  </si>
  <si>
    <t>BBC staff</t>
  </si>
  <si>
    <t>campus min staff</t>
  </si>
  <si>
    <t>audit</t>
  </si>
  <si>
    <t>family youth</t>
  </si>
  <si>
    <t>NEC staff</t>
  </si>
  <si>
    <t>Form Off</t>
  </si>
  <si>
    <t>bbc</t>
  </si>
  <si>
    <t>#4</t>
  </si>
  <si>
    <t>bish off</t>
  </si>
  <si>
    <t>nec pgm</t>
  </si>
  <si>
    <t>ccd</t>
  </si>
  <si>
    <t>campus minsty</t>
  </si>
  <si>
    <t>Famly &amp; Yuts</t>
  </si>
  <si>
    <t>outreach</t>
  </si>
  <si>
    <t>dso grant</t>
  </si>
  <si>
    <t>ecu grant</t>
  </si>
  <si>
    <t>total total</t>
  </si>
  <si>
    <t>wcp actual</t>
  </si>
  <si>
    <t>maTH</t>
  </si>
  <si>
    <t>LOST MATH</t>
  </si>
  <si>
    <t>Governance</t>
  </si>
  <si>
    <t>creation care</t>
  </si>
  <si>
    <t>Procter Camp &amp; Church Foundation</t>
  </si>
  <si>
    <t>#3 total</t>
  </si>
  <si>
    <t>51230-3 Grants within Diocese - SE Campus Ministry</t>
  </si>
  <si>
    <t xml:space="preserve">wcp additions </t>
  </si>
  <si>
    <t>412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</si>
</sst>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1010409]&quot;$&quot;#,##0;\(&quot;$&quot;#,##0\)"/>
    <numFmt numFmtId="166" formatCode="[$-1010409]&quot;$&quot;#,##0.00;\(&quot;$&quot;#,##0.00\)"/>
    <numFmt numFmtId="167" formatCode="&quot;$&quot;#,##0.00"/>
    <numFmt numFmtId="168" formatCode="_(&quot;$&quot;* #,##0_);_(&quot;$&quot;* \(#,##0\);_(&quot;$&quot;* &quot;-&quot;??_);_(@_)"/>
    <numFmt numFmtId="169" formatCode="0.0%"/>
    <numFmt numFmtId="170" formatCode="_(* #,##0_);_(* \(#,##0\);_(* &quot;-&quot;??_);_(@_)"/>
  </numFmts>
  <fonts count="39" x14ac:knownFonts="1"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0.5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18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Times New Roman"/>
      <family val="1"/>
    </font>
    <font>
      <sz val="8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33CC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sz val="11"/>
      <color rgb="FFFF6600"/>
      <name val="Times New Roman"/>
      <family val="1"/>
    </font>
    <font>
      <sz val="11"/>
      <color rgb="FFFF9900"/>
      <name val="Times New Roman"/>
      <family val="1"/>
    </font>
    <font>
      <b/>
      <sz val="14"/>
      <color theme="2"/>
      <name val="Times New Roman"/>
      <family val="1"/>
    </font>
    <font>
      <sz val="11"/>
      <color theme="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B6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0E0E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5A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B70C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wrapTex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3" fontId="3" fillId="0" borderId="0" applyFont="0" applyFill="0" applyBorder="0" applyAlignment="0" applyProtection="0"/>
  </cellStyleXfs>
  <cellXfs count="733">
    <xf numFmtId="0" fontId="0" fillId="0" borderId="0" xfId="0">
      <alignment wrapText="1"/>
    </xf>
    <xf numFmtId="164" fontId="5" fillId="4" borderId="1" xfId="0" applyNumberFormat="1" applyFont="1" applyFill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readingOrder="1"/>
    </xf>
    <xf numFmtId="0" fontId="7" fillId="0" borderId="0" xfId="0" applyFont="1" applyAlignment="1">
      <alignment wrapText="1" readingOrder="1"/>
    </xf>
    <xf numFmtId="0" fontId="5" fillId="4" borderId="0" xfId="0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left" vertical="top" wrapText="1" readingOrder="1"/>
    </xf>
    <xf numFmtId="164" fontId="5" fillId="4" borderId="0" xfId="0" applyNumberFormat="1" applyFont="1" applyFill="1" applyAlignment="1">
      <alignment horizontal="left" vertical="top" wrapText="1" readingOrder="1"/>
    </xf>
    <xf numFmtId="0" fontId="7" fillId="4" borderId="1" xfId="0" applyFont="1" applyFill="1" applyBorder="1" applyAlignment="1">
      <alignment horizontal="left" vertical="top" wrapText="1" readingOrder="1"/>
    </xf>
    <xf numFmtId="164" fontId="7" fillId="4" borderId="1" xfId="1" applyNumberFormat="1" applyFont="1" applyFill="1" applyBorder="1" applyAlignment="1">
      <alignment horizontal="right" vertical="top" wrapText="1" readingOrder="1"/>
    </xf>
    <xf numFmtId="164" fontId="7" fillId="4" borderId="1" xfId="0" applyNumberFormat="1" applyFont="1" applyFill="1" applyBorder="1" applyAlignment="1">
      <alignment horizontal="right" vertical="top" wrapText="1" readingOrder="1"/>
    </xf>
    <xf numFmtId="10" fontId="7" fillId="4" borderId="1" xfId="2" applyNumberFormat="1" applyFont="1" applyFill="1" applyBorder="1" applyAlignment="1">
      <alignment horizontal="right" vertical="top" wrapText="1" readingOrder="1"/>
    </xf>
    <xf numFmtId="164" fontId="7" fillId="4" borderId="1" xfId="2" applyNumberFormat="1" applyFont="1" applyFill="1" applyBorder="1" applyAlignment="1">
      <alignment horizontal="right" vertical="top" wrapText="1" readingOrder="1"/>
    </xf>
    <xf numFmtId="165" fontId="7" fillId="0" borderId="1" xfId="0" applyNumberFormat="1" applyFont="1" applyBorder="1" applyAlignment="1">
      <alignment horizontal="right" vertical="top" wrapText="1" readingOrder="1"/>
    </xf>
    <xf numFmtId="164" fontId="7" fillId="0" borderId="1" xfId="1" applyNumberFormat="1" applyFont="1" applyFill="1" applyBorder="1" applyAlignment="1">
      <alignment horizontal="right" vertical="top" wrapText="1" readingOrder="1"/>
    </xf>
    <xf numFmtId="9" fontId="7" fillId="4" borderId="1" xfId="2" applyFont="1" applyFill="1" applyBorder="1" applyAlignment="1">
      <alignment horizontal="right" vertical="top" wrapText="1" readingOrder="1"/>
    </xf>
    <xf numFmtId="164" fontId="7" fillId="6" borderId="1" xfId="1" applyNumberFormat="1" applyFont="1" applyFill="1" applyBorder="1" applyAlignment="1">
      <alignment horizontal="right" vertical="top" wrapText="1" readingOrder="1"/>
    </xf>
    <xf numFmtId="164" fontId="7" fillId="8" borderId="1" xfId="1" applyNumberFormat="1" applyFont="1" applyFill="1" applyBorder="1" applyAlignment="1">
      <alignment horizontal="right" vertical="top" wrapText="1" readingOrder="1"/>
    </xf>
    <xf numFmtId="165" fontId="7" fillId="0" borderId="1" xfId="0" applyNumberFormat="1" applyFont="1" applyBorder="1" applyAlignment="1">
      <alignment horizontal="center" vertical="top" wrapText="1" readingOrder="1"/>
    </xf>
    <xf numFmtId="164" fontId="7" fillId="9" borderId="1" xfId="1" applyNumberFormat="1" applyFont="1" applyFill="1" applyBorder="1" applyAlignment="1">
      <alignment horizontal="right" vertical="top" wrapText="1" readingOrder="1"/>
    </xf>
    <xf numFmtId="165" fontId="7" fillId="0" borderId="1" xfId="0" applyNumberFormat="1" applyFont="1" applyBorder="1" applyAlignment="1">
      <alignment horizontal="left" vertical="top" wrapText="1" readingOrder="1"/>
    </xf>
    <xf numFmtId="164" fontId="7" fillId="10" borderId="1" xfId="1" applyNumberFormat="1" applyFont="1" applyFill="1" applyBorder="1" applyAlignment="1">
      <alignment horizontal="right" vertical="top" wrapText="1" readingOrder="1"/>
    </xf>
    <xf numFmtId="164" fontId="7" fillId="11" borderId="1" xfId="1" applyNumberFormat="1" applyFont="1" applyFill="1" applyBorder="1" applyAlignment="1">
      <alignment horizontal="right" vertical="top" wrapText="1" readingOrder="1"/>
    </xf>
    <xf numFmtId="0" fontId="7" fillId="0" borderId="0" xfId="0" applyFont="1" applyAlignment="1">
      <alignment horizontal="right" wrapText="1" readingOrder="1"/>
    </xf>
    <xf numFmtId="164" fontId="10" fillId="5" borderId="1" xfId="4" applyNumberFormat="1" applyFont="1" applyFill="1" applyBorder="1" applyAlignment="1">
      <alignment horizontal="right" vertical="top" wrapText="1" readingOrder="1"/>
    </xf>
    <xf numFmtId="164" fontId="7" fillId="0" borderId="1" xfId="0" applyNumberFormat="1" applyFont="1" applyBorder="1" applyAlignment="1">
      <alignment horizontal="right" wrapText="1" readingOrder="1"/>
    </xf>
    <xf numFmtId="164" fontId="7" fillId="12" borderId="1" xfId="1" applyNumberFormat="1" applyFont="1" applyFill="1" applyBorder="1" applyAlignment="1">
      <alignment horizontal="right" vertical="top" wrapText="1" readingOrder="1"/>
    </xf>
    <xf numFmtId="164" fontId="7" fillId="13" borderId="1" xfId="1" applyNumberFormat="1" applyFont="1" applyFill="1" applyBorder="1" applyAlignment="1">
      <alignment horizontal="right" vertical="top" wrapText="1" readingOrder="1"/>
    </xf>
    <xf numFmtId="164" fontId="7" fillId="14" borderId="1" xfId="1" applyNumberFormat="1" applyFont="1" applyFill="1" applyBorder="1" applyAlignment="1">
      <alignment horizontal="right" vertical="top" wrapText="1" readingOrder="1"/>
    </xf>
    <xf numFmtId="164" fontId="7" fillId="15" borderId="1" xfId="1" applyNumberFormat="1" applyFont="1" applyFill="1" applyBorder="1" applyAlignment="1">
      <alignment horizontal="right" vertical="top" wrapText="1" readingOrder="1"/>
    </xf>
    <xf numFmtId="164" fontId="5" fillId="7" borderId="1" xfId="0" applyNumberFormat="1" applyFont="1" applyFill="1" applyBorder="1" applyAlignment="1">
      <alignment horizontal="right" vertical="top" wrapText="1" readingOrder="1"/>
    </xf>
    <xf numFmtId="9" fontId="5" fillId="7" borderId="1" xfId="0" applyNumberFormat="1" applyFont="1" applyFill="1" applyBorder="1" applyAlignment="1">
      <alignment horizontal="right" vertical="top" wrapText="1" readingOrder="1"/>
    </xf>
    <xf numFmtId="165" fontId="5" fillId="7" borderId="1" xfId="0" applyNumberFormat="1" applyFont="1" applyFill="1" applyBorder="1" applyAlignment="1">
      <alignment horizontal="right" vertical="top" wrapText="1" readingOrder="1"/>
    </xf>
    <xf numFmtId="165" fontId="5" fillId="0" borderId="1" xfId="0" applyNumberFormat="1" applyFont="1" applyBorder="1" applyAlignment="1">
      <alignment horizontal="right" vertical="top" wrapText="1" readingOrder="1"/>
    </xf>
    <xf numFmtId="0" fontId="5" fillId="4" borderId="0" xfId="0" applyFont="1" applyFill="1" applyAlignment="1">
      <alignment horizontal="center" vertical="top" readingOrder="1"/>
    </xf>
    <xf numFmtId="44" fontId="5" fillId="4" borderId="0" xfId="0" applyNumberFormat="1" applyFont="1" applyFill="1" applyAlignment="1">
      <alignment horizontal="right" vertical="top" wrapText="1" readingOrder="1"/>
    </xf>
    <xf numFmtId="44" fontId="5" fillId="4" borderId="0" xfId="1" applyFont="1" applyFill="1" applyBorder="1" applyAlignment="1">
      <alignment horizontal="right" vertical="top" wrapText="1" readingOrder="1"/>
    </xf>
    <xf numFmtId="44" fontId="5" fillId="4" borderId="0" xfId="0" applyNumberFormat="1" applyFont="1" applyFill="1" applyAlignment="1">
      <alignment horizontal="left" vertical="top" wrapText="1" readingOrder="1"/>
    </xf>
    <xf numFmtId="166" fontId="5" fillId="0" borderId="0" xfId="0" applyNumberFormat="1" applyFont="1" applyAlignment="1">
      <alignment horizontal="right" vertical="top" wrapText="1" readingOrder="1"/>
    </xf>
    <xf numFmtId="0" fontId="5" fillId="13" borderId="0" xfId="0" applyFont="1" applyFill="1" applyAlignment="1">
      <alignment horizontal="left" vertical="top" wrapText="1" readingOrder="1"/>
    </xf>
    <xf numFmtId="164" fontId="5" fillId="13" borderId="0" xfId="0" applyNumberFormat="1" applyFont="1" applyFill="1" applyAlignment="1">
      <alignment horizontal="left" vertical="top" wrapText="1" readingOrder="1"/>
    </xf>
    <xf numFmtId="166" fontId="5" fillId="13" borderId="0" xfId="0" applyNumberFormat="1" applyFont="1" applyFill="1" applyAlignment="1">
      <alignment horizontal="right" vertical="top" wrapText="1" readingOrder="1"/>
    </xf>
    <xf numFmtId="166" fontId="5" fillId="13" borderId="0" xfId="0" applyNumberFormat="1" applyFont="1" applyFill="1" applyAlignment="1">
      <alignment horizontal="center" vertical="top" wrapText="1" readingOrder="1"/>
    </xf>
    <xf numFmtId="10" fontId="7" fillId="4" borderId="1" xfId="2" applyNumberFormat="1" applyFont="1" applyFill="1" applyBorder="1" applyAlignment="1">
      <alignment horizontal="left" vertical="top" wrapText="1" readingOrder="1"/>
    </xf>
    <xf numFmtId="164" fontId="7" fillId="4" borderId="1" xfId="2" applyNumberFormat="1" applyFont="1" applyFill="1" applyBorder="1" applyAlignment="1">
      <alignment horizontal="left" vertical="top" wrapText="1" readingOrder="1"/>
    </xf>
    <xf numFmtId="166" fontId="7" fillId="0" borderId="1" xfId="0" applyNumberFormat="1" applyFont="1" applyBorder="1" applyAlignment="1">
      <alignment horizontal="right" vertical="top" wrapText="1" readingOrder="1"/>
    </xf>
    <xf numFmtId="164" fontId="5" fillId="4" borderId="1" xfId="0" applyNumberFormat="1" applyFont="1" applyFill="1" applyBorder="1" applyAlignment="1">
      <alignment horizontal="right" vertical="top" wrapText="1" readingOrder="1"/>
    </xf>
    <xf numFmtId="164" fontId="5" fillId="4" borderId="1" xfId="1" applyNumberFormat="1" applyFont="1" applyFill="1" applyBorder="1" applyAlignment="1">
      <alignment horizontal="right" vertical="top" wrapText="1" readingOrder="1"/>
    </xf>
    <xf numFmtId="10" fontId="5" fillId="4" borderId="1" xfId="2" applyNumberFormat="1" applyFont="1" applyFill="1" applyBorder="1" applyAlignment="1">
      <alignment horizontal="left" vertical="top" wrapText="1" readingOrder="1"/>
    </xf>
    <xf numFmtId="164" fontId="5" fillId="4" borderId="1" xfId="2" applyNumberFormat="1" applyFont="1" applyFill="1" applyBorder="1" applyAlignment="1">
      <alignment horizontal="right" vertical="top" wrapText="1" readingOrder="1"/>
    </xf>
    <xf numFmtId="166" fontId="5" fillId="0" borderId="1" xfId="0" applyNumberFormat="1" applyFont="1" applyBorder="1" applyAlignment="1">
      <alignment horizontal="right" vertical="top" wrapText="1" readingOrder="1"/>
    </xf>
    <xf numFmtId="164" fontId="7" fillId="0" borderId="0" xfId="0" applyNumberFormat="1" applyFont="1" applyAlignment="1">
      <alignment wrapText="1" readingOrder="1"/>
    </xf>
    <xf numFmtId="0" fontId="10" fillId="4" borderId="0" xfId="0" applyFont="1" applyFill="1" applyAlignment="1">
      <alignment horizontal="right" vertical="top" readingOrder="1"/>
    </xf>
    <xf numFmtId="0" fontId="5" fillId="16" borderId="0" xfId="0" applyFont="1" applyFill="1" applyAlignment="1">
      <alignment horizontal="left" vertical="top" wrapText="1" readingOrder="1"/>
    </xf>
    <xf numFmtId="0" fontId="5" fillId="16" borderId="0" xfId="0" applyFont="1" applyFill="1" applyAlignment="1">
      <alignment vertical="top" wrapText="1" readingOrder="1"/>
    </xf>
    <xf numFmtId="0" fontId="5" fillId="17" borderId="0" xfId="0" applyFont="1" applyFill="1" applyAlignment="1">
      <alignment vertical="top" wrapText="1" readingOrder="1"/>
    </xf>
    <xf numFmtId="167" fontId="7" fillId="0" borderId="1" xfId="1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horizontal="right" vertical="top" wrapText="1" readingOrder="1"/>
    </xf>
    <xf numFmtId="167" fontId="7" fillId="0" borderId="1" xfId="1" applyNumberFormat="1" applyFont="1" applyBorder="1" applyAlignment="1">
      <alignment horizontal="right" vertical="top" wrapText="1" readingOrder="1"/>
    </xf>
    <xf numFmtId="166" fontId="7" fillId="0" borderId="2" xfId="0" applyNumberFormat="1" applyFont="1" applyBorder="1" applyAlignment="1">
      <alignment horizontal="center" vertical="top" wrapText="1" readingOrder="1"/>
    </xf>
    <xf numFmtId="167" fontId="7" fillId="4" borderId="1" xfId="1" applyNumberFormat="1" applyFont="1" applyFill="1" applyBorder="1" applyAlignment="1">
      <alignment horizontal="right" vertical="top" wrapText="1" readingOrder="1"/>
    </xf>
    <xf numFmtId="10" fontId="5" fillId="4" borderId="1" xfId="2" applyNumberFormat="1" applyFont="1" applyFill="1" applyBorder="1" applyAlignment="1">
      <alignment horizontal="right" vertical="top" wrapText="1" readingOrder="1"/>
    </xf>
    <xf numFmtId="0" fontId="10" fillId="4" borderId="0" xfId="0" applyFont="1" applyFill="1" applyAlignment="1">
      <alignment horizontal="center" vertical="top" readingOrder="1"/>
    </xf>
    <xf numFmtId="0" fontId="7" fillId="4" borderId="0" xfId="0" applyFont="1" applyFill="1" applyAlignment="1">
      <alignment vertical="top" readingOrder="1"/>
    </xf>
    <xf numFmtId="0" fontId="7" fillId="4" borderId="0" xfId="0" applyFont="1" applyFill="1" applyAlignment="1">
      <alignment horizontal="right" vertical="top" readingOrder="1"/>
    </xf>
    <xf numFmtId="164" fontId="7" fillId="4" borderId="0" xfId="0" applyNumberFormat="1" applyFont="1" applyFill="1" applyAlignment="1">
      <alignment vertical="top" readingOrder="1"/>
    </xf>
    <xf numFmtId="0" fontId="7" fillId="0" borderId="0" xfId="0" applyFont="1" applyAlignment="1">
      <alignment vertical="top" readingOrder="1"/>
    </xf>
    <xf numFmtId="0" fontId="5" fillId="18" borderId="0" xfId="0" applyFont="1" applyFill="1" applyAlignment="1">
      <alignment vertical="top" wrapText="1" readingOrder="1"/>
    </xf>
    <xf numFmtId="164" fontId="7" fillId="0" borderId="1" xfId="0" applyNumberFormat="1" applyFont="1" applyBorder="1" applyAlignment="1">
      <alignment horizontal="right" vertical="top" wrapText="1" readingOrder="1"/>
    </xf>
    <xf numFmtId="164" fontId="10" fillId="4" borderId="0" xfId="0" applyNumberFormat="1" applyFont="1" applyFill="1" applyAlignment="1">
      <alignment horizontal="center" vertical="top" readingOrder="1"/>
    </xf>
    <xf numFmtId="0" fontId="10" fillId="0" borderId="0" xfId="0" applyFont="1" applyAlignment="1">
      <alignment horizontal="center" vertical="top" readingOrder="1"/>
    </xf>
    <xf numFmtId="0" fontId="7" fillId="4" borderId="0" xfId="0" applyFont="1" applyFill="1" applyAlignment="1">
      <alignment horizontal="left" vertical="top" wrapText="1" readingOrder="1"/>
    </xf>
    <xf numFmtId="0" fontId="7" fillId="4" borderId="0" xfId="0" applyFont="1" applyFill="1" applyAlignment="1">
      <alignment horizontal="right" vertical="top" wrapText="1" readingOrder="1"/>
    </xf>
    <xf numFmtId="164" fontId="7" fillId="4" borderId="0" xfId="0" applyNumberFormat="1" applyFont="1" applyFill="1" applyAlignment="1">
      <alignment horizontal="lef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4" fontId="7" fillId="4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Border="1" applyAlignment="1">
      <alignment vertical="top" wrapText="1" readingOrder="1"/>
    </xf>
    <xf numFmtId="10" fontId="5" fillId="4" borderId="1" xfId="2" applyNumberFormat="1" applyFont="1" applyFill="1" applyBorder="1" applyAlignment="1">
      <alignment vertical="top" wrapText="1" readingOrder="1"/>
    </xf>
    <xf numFmtId="164" fontId="5" fillId="4" borderId="1" xfId="2" applyNumberFormat="1" applyFont="1" applyFill="1" applyBorder="1" applyAlignment="1">
      <alignment vertical="top" wrapText="1" readingOrder="1"/>
    </xf>
    <xf numFmtId="0" fontId="5" fillId="16" borderId="0" xfId="0" applyFont="1" applyFill="1" applyAlignment="1">
      <alignment horizontal="right" vertical="top" wrapText="1" readingOrder="1"/>
    </xf>
    <xf numFmtId="164" fontId="5" fillId="4" borderId="1" xfId="1" applyNumberFormat="1" applyFont="1" applyFill="1" applyBorder="1" applyAlignment="1">
      <alignment vertical="top" wrapText="1" readingOrder="1"/>
    </xf>
    <xf numFmtId="0" fontId="5" fillId="17" borderId="0" xfId="0" applyFont="1" applyFill="1" applyAlignment="1">
      <alignment horizontal="right" vertical="top" wrapText="1" readingOrder="1"/>
    </xf>
    <xf numFmtId="164" fontId="7" fillId="11" borderId="1" xfId="0" applyNumberFormat="1" applyFont="1" applyFill="1" applyBorder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65" fontId="5" fillId="0" borderId="1" xfId="0" applyNumberFormat="1" applyFont="1" applyBorder="1" applyAlignment="1">
      <alignment vertical="top" wrapText="1" readingOrder="1"/>
    </xf>
    <xf numFmtId="0" fontId="7" fillId="4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readingOrder="1"/>
    </xf>
    <xf numFmtId="164" fontId="10" fillId="0" borderId="0" xfId="0" applyNumberFormat="1" applyFont="1" applyAlignment="1">
      <alignment horizontal="center" vertical="top" readingOrder="1"/>
    </xf>
    <xf numFmtId="164" fontId="7" fillId="10" borderId="1" xfId="0" applyNumberFormat="1" applyFont="1" applyFill="1" applyBorder="1" applyAlignment="1">
      <alignment horizontal="right" vertical="top" wrapText="1" readingOrder="1"/>
    </xf>
    <xf numFmtId="164" fontId="7" fillId="6" borderId="1" xfId="0" applyNumberFormat="1" applyFont="1" applyFill="1" applyBorder="1" applyAlignment="1">
      <alignment horizontal="right" vertical="top" wrapText="1" readingOrder="1"/>
    </xf>
    <xf numFmtId="166" fontId="7" fillId="0" borderId="1" xfId="0" applyNumberFormat="1" applyFont="1" applyBorder="1" applyAlignment="1">
      <alignment horizontal="center" vertical="top" wrapText="1" readingOrder="1"/>
    </xf>
    <xf numFmtId="164" fontId="7" fillId="4" borderId="1" xfId="0" applyNumberFormat="1" applyFont="1" applyFill="1" applyBorder="1" applyAlignment="1">
      <alignment horizontal="left" vertical="top" wrapText="1" readingOrder="1"/>
    </xf>
    <xf numFmtId="164" fontId="7" fillId="8" borderId="1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Alignment="1">
      <alignment vertical="top" wrapText="1" readingOrder="1"/>
    </xf>
    <xf numFmtId="166" fontId="5" fillId="4" borderId="1" xfId="0" applyNumberFormat="1" applyFont="1" applyFill="1" applyBorder="1" applyAlignment="1">
      <alignment horizontal="right" vertical="top" wrapText="1" readingOrder="1"/>
    </xf>
    <xf numFmtId="164" fontId="7" fillId="9" borderId="1" xfId="0" applyNumberFormat="1" applyFont="1" applyFill="1" applyBorder="1" applyAlignment="1">
      <alignment horizontal="right" vertical="top" wrapText="1" readingOrder="1"/>
    </xf>
    <xf numFmtId="166" fontId="5" fillId="4" borderId="1" xfId="0" applyNumberFormat="1" applyFont="1" applyFill="1" applyBorder="1" applyAlignment="1">
      <alignment vertical="top" wrapText="1" readingOrder="1"/>
    </xf>
    <xf numFmtId="165" fontId="5" fillId="0" borderId="1" xfId="1" applyNumberFormat="1" applyFont="1" applyFill="1" applyBorder="1" applyAlignment="1">
      <alignment horizontal="right" vertical="top" wrapText="1" readingOrder="1"/>
    </xf>
    <xf numFmtId="166" fontId="5" fillId="0" borderId="1" xfId="1" applyNumberFormat="1" applyFont="1" applyBorder="1" applyAlignment="1">
      <alignment horizontal="right" vertical="top" wrapText="1" readingOrder="1"/>
    </xf>
    <xf numFmtId="166" fontId="5" fillId="0" borderId="1" xfId="1" applyNumberFormat="1" applyFont="1" applyFill="1" applyBorder="1" applyAlignment="1">
      <alignment horizontal="center" vertical="top" wrapText="1" readingOrder="1"/>
    </xf>
    <xf numFmtId="164" fontId="5" fillId="16" borderId="0" xfId="0" applyNumberFormat="1" applyFont="1" applyFill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5" fillId="4" borderId="1" xfId="0" applyFont="1" applyFill="1" applyBorder="1" applyAlignment="1">
      <alignment horizontal="right" vertical="top" wrapText="1" readingOrder="1"/>
    </xf>
    <xf numFmtId="166" fontId="5" fillId="0" borderId="1" xfId="1" applyNumberFormat="1" applyFont="1" applyFill="1" applyBorder="1" applyAlignment="1">
      <alignment horizontal="right" vertical="top" wrapText="1" readingOrder="1"/>
    </xf>
    <xf numFmtId="166" fontId="5" fillId="0" borderId="2" xfId="1" applyNumberFormat="1" applyFont="1" applyFill="1" applyBorder="1" applyAlignment="1">
      <alignment horizontal="right" vertical="top" wrapText="1" readingOrder="1"/>
    </xf>
    <xf numFmtId="164" fontId="7" fillId="4" borderId="4" xfId="0" applyNumberFormat="1" applyFont="1" applyFill="1" applyBorder="1" applyAlignment="1">
      <alignment horizontal="right" vertical="top" wrapText="1" readingOrder="1"/>
    </xf>
    <xf numFmtId="164" fontId="6" fillId="4" borderId="1" xfId="0" applyNumberFormat="1" applyFont="1" applyFill="1" applyBorder="1" applyAlignment="1">
      <alignment horizontal="right" vertical="top" readingOrder="1"/>
    </xf>
    <xf numFmtId="10" fontId="6" fillId="4" borderId="1" xfId="2" applyNumberFormat="1" applyFont="1" applyFill="1" applyBorder="1" applyAlignment="1">
      <alignment horizontal="right" vertical="top" readingOrder="1"/>
    </xf>
    <xf numFmtId="164" fontId="6" fillId="4" borderId="1" xfId="2" applyNumberFormat="1" applyFont="1" applyFill="1" applyBorder="1" applyAlignment="1">
      <alignment horizontal="right" vertical="top" readingOrder="1"/>
    </xf>
    <xf numFmtId="165" fontId="6" fillId="0" borderId="1" xfId="1" applyNumberFormat="1" applyFont="1" applyFill="1" applyBorder="1" applyAlignment="1">
      <alignment horizontal="right" vertical="top" readingOrder="1"/>
    </xf>
    <xf numFmtId="166" fontId="6" fillId="0" borderId="1" xfId="1" applyNumberFormat="1" applyFont="1" applyBorder="1" applyAlignment="1">
      <alignment horizontal="center" vertical="top" readingOrder="1"/>
    </xf>
    <xf numFmtId="166" fontId="6" fillId="0" borderId="1" xfId="1" applyNumberFormat="1" applyFont="1" applyFill="1" applyBorder="1" applyAlignment="1">
      <alignment horizontal="center" vertical="top" readingOrder="1"/>
    </xf>
    <xf numFmtId="164" fontId="7" fillId="12" borderId="1" xfId="0" applyNumberFormat="1" applyFont="1" applyFill="1" applyBorder="1" applyAlignment="1">
      <alignment horizontal="right" vertical="top" wrapText="1" readingOrder="1"/>
    </xf>
    <xf numFmtId="165" fontId="10" fillId="0" borderId="0" xfId="0" applyNumberFormat="1" applyFont="1" applyAlignment="1">
      <alignment horizontal="center" vertical="top" readingOrder="1"/>
    </xf>
    <xf numFmtId="164" fontId="10" fillId="5" borderId="1" xfId="3" applyNumberFormat="1" applyFont="1" applyFill="1" applyBorder="1" applyAlignment="1">
      <alignment horizontal="right" vertical="top" wrapText="1" readingOrder="1"/>
    </xf>
    <xf numFmtId="0" fontId="10" fillId="0" borderId="9" xfId="0" applyFont="1" applyBorder="1" applyAlignment="1">
      <alignment horizontal="center" vertical="top" readingOrder="1"/>
    </xf>
    <xf numFmtId="0" fontId="10" fillId="0" borderId="9" xfId="0" applyFont="1" applyBorder="1" applyAlignment="1">
      <alignment horizontal="right" vertical="top" readingOrder="1"/>
    </xf>
    <xf numFmtId="164" fontId="10" fillId="0" borderId="9" xfId="0" applyNumberFormat="1" applyFont="1" applyBorder="1" applyAlignment="1">
      <alignment horizontal="center" vertical="top" readingOrder="1"/>
    </xf>
    <xf numFmtId="166" fontId="7" fillId="0" borderId="9" xfId="0" applyNumberFormat="1" applyFont="1" applyBorder="1" applyAlignment="1">
      <alignment horizontal="right" vertical="top" wrapText="1" readingOrder="1"/>
    </xf>
    <xf numFmtId="164" fontId="7" fillId="13" borderId="1" xfId="0" applyNumberFormat="1" applyFont="1" applyFill="1" applyBorder="1" applyAlignment="1">
      <alignment horizontal="right" vertical="top" wrapText="1" readingOrder="1"/>
    </xf>
    <xf numFmtId="164" fontId="7" fillId="15" borderId="1" xfId="0" applyNumberFormat="1" applyFont="1" applyFill="1" applyBorder="1" applyAlignment="1">
      <alignment horizontal="righ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10" fontId="5" fillId="4" borderId="0" xfId="2" applyNumberFormat="1" applyFont="1" applyFill="1" applyBorder="1" applyAlignment="1">
      <alignment horizontal="right" vertical="top" wrapText="1" readingOrder="1"/>
    </xf>
    <xf numFmtId="164" fontId="5" fillId="4" borderId="0" xfId="1" applyNumberFormat="1" applyFont="1" applyFill="1" applyBorder="1" applyAlignment="1">
      <alignment horizontal="right"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4" fontId="7" fillId="20" borderId="1" xfId="0" applyNumberFormat="1" applyFont="1" applyFill="1" applyBorder="1" applyAlignment="1">
      <alignment horizontal="right" vertical="top" wrapText="1" readingOrder="1"/>
    </xf>
    <xf numFmtId="0" fontId="5" fillId="4" borderId="6" xfId="0" applyFont="1" applyFill="1" applyBorder="1" applyAlignment="1">
      <alignment horizontal="left" vertical="top" wrapText="1" readingOrder="1"/>
    </xf>
    <xf numFmtId="164" fontId="5" fillId="4" borderId="6" xfId="0" applyNumberFormat="1" applyFont="1" applyFill="1" applyBorder="1" applyAlignment="1">
      <alignment horizontal="right" vertical="top" wrapText="1" readingOrder="1"/>
    </xf>
    <xf numFmtId="164" fontId="5" fillId="4" borderId="6" xfId="1" applyNumberFormat="1" applyFont="1" applyFill="1" applyBorder="1" applyAlignment="1">
      <alignment horizontal="right" vertical="top" wrapText="1" readingOrder="1"/>
    </xf>
    <xf numFmtId="165" fontId="5" fillId="0" borderId="6" xfId="0" applyNumberFormat="1" applyFont="1" applyBorder="1" applyAlignment="1">
      <alignment horizontal="right" vertical="top" wrapText="1" readingOrder="1"/>
    </xf>
    <xf numFmtId="164" fontId="5" fillId="4" borderId="0" xfId="0" applyNumberFormat="1" applyFont="1" applyFill="1" applyAlignment="1">
      <alignment vertical="top" wrapText="1" readingOrder="1"/>
    </xf>
    <xf numFmtId="10" fontId="5" fillId="4" borderId="0" xfId="2" applyNumberFormat="1" applyFont="1" applyFill="1" applyBorder="1" applyAlignment="1">
      <alignment vertical="top" wrapText="1" readingOrder="1"/>
    </xf>
    <xf numFmtId="164" fontId="5" fillId="4" borderId="0" xfId="2" applyNumberFormat="1" applyFont="1" applyFill="1" applyBorder="1" applyAlignment="1">
      <alignment vertical="top" wrapText="1" readingOrder="1"/>
    </xf>
    <xf numFmtId="165" fontId="5" fillId="0" borderId="0" xfId="0" applyNumberFormat="1" applyFont="1" applyAlignment="1">
      <alignment vertical="top" wrapText="1" readingOrder="1"/>
    </xf>
    <xf numFmtId="0" fontId="7" fillId="4" borderId="0" xfId="0" applyFont="1" applyFill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164" fontId="5" fillId="4" borderId="0" xfId="2" applyNumberFormat="1" applyFont="1" applyFill="1" applyBorder="1" applyAlignment="1">
      <alignment horizontal="right" vertical="top" wrapText="1" readingOrder="1"/>
    </xf>
    <xf numFmtId="167" fontId="7" fillId="0" borderId="0" xfId="1" applyNumberFormat="1" applyFont="1" applyFill="1" applyAlignment="1">
      <alignment horizontal="right" wrapText="1" readingOrder="1"/>
    </xf>
    <xf numFmtId="0" fontId="5" fillId="16" borderId="0" xfId="0" applyFont="1" applyFill="1" applyAlignment="1">
      <alignment horizontal="left" vertical="center" readingOrder="1"/>
    </xf>
    <xf numFmtId="0" fontId="7" fillId="0" borderId="0" xfId="0" applyFont="1" applyAlignment="1">
      <alignment readingOrder="1"/>
    </xf>
    <xf numFmtId="0" fontId="5" fillId="4" borderId="2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7" fillId="20" borderId="1" xfId="0" applyFont="1" applyFill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0" fontId="7" fillId="4" borderId="2" xfId="0" applyFont="1" applyFill="1" applyBorder="1" applyAlignment="1">
      <alignment horizontal="left" vertical="top" wrapText="1" readingOrder="1"/>
    </xf>
    <xf numFmtId="0" fontId="5" fillId="16" borderId="6" xfId="0" applyFont="1" applyFill="1" applyBorder="1" applyAlignment="1">
      <alignment horizontal="left" vertical="top" wrapText="1" readingOrder="1"/>
    </xf>
    <xf numFmtId="164" fontId="5" fillId="16" borderId="6" xfId="0" applyNumberFormat="1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5" fillId="16" borderId="10" xfId="0" applyFont="1" applyFill="1" applyBorder="1" applyAlignment="1">
      <alignment horizontal="left" vertical="top" wrapText="1" readingOrder="1"/>
    </xf>
    <xf numFmtId="164" fontId="5" fillId="16" borderId="11" xfId="0" applyNumberFormat="1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left" vertical="top" readingOrder="1"/>
    </xf>
    <xf numFmtId="164" fontId="5" fillId="16" borderId="0" xfId="0" applyNumberFormat="1" applyFont="1" applyFill="1" applyAlignment="1">
      <alignment horizontal="center" vertical="top" wrapText="1" readingOrder="1"/>
    </xf>
    <xf numFmtId="0" fontId="12" fillId="0" borderId="1" xfId="0" applyFont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top" readingOrder="1"/>
    </xf>
    <xf numFmtId="0" fontId="5" fillId="4" borderId="1" xfId="0" applyFont="1" applyFill="1" applyBorder="1" applyAlignment="1">
      <alignment horizontal="left" vertical="top" readingOrder="1"/>
    </xf>
    <xf numFmtId="0" fontId="4" fillId="4" borderId="1" xfId="0" applyFont="1" applyFill="1" applyBorder="1" applyAlignment="1">
      <alignment horizontal="center" vertical="top" wrapText="1" readingOrder="1"/>
    </xf>
    <xf numFmtId="0" fontId="5" fillId="4" borderId="1" xfId="0" applyFont="1" applyFill="1" applyBorder="1" applyAlignment="1">
      <alignment horizontal="center" wrapText="1" readingOrder="1"/>
    </xf>
    <xf numFmtId="0" fontId="5" fillId="4" borderId="1" xfId="0" applyFont="1" applyFill="1" applyBorder="1" applyAlignment="1">
      <alignment wrapText="1" readingOrder="1"/>
    </xf>
    <xf numFmtId="164" fontId="5" fillId="4" borderId="1" xfId="0" applyNumberFormat="1" applyFont="1" applyFill="1" applyBorder="1" applyAlignment="1">
      <alignment wrapText="1" readingOrder="1"/>
    </xf>
    <xf numFmtId="0" fontId="5" fillId="0" borderId="1" xfId="0" applyFont="1" applyBorder="1" applyAlignment="1">
      <alignment wrapText="1" readingOrder="1"/>
    </xf>
    <xf numFmtId="168" fontId="5" fillId="4" borderId="1" xfId="1" applyNumberFormat="1" applyFont="1" applyFill="1" applyBorder="1" applyAlignment="1">
      <alignment horizontal="center" wrapText="1" readingOrder="1"/>
    </xf>
    <xf numFmtId="168" fontId="7" fillId="4" borderId="1" xfId="1" applyNumberFormat="1" applyFont="1" applyFill="1" applyBorder="1" applyAlignment="1">
      <alignment horizontal="left" vertical="top" wrapText="1" readingOrder="1"/>
    </xf>
    <xf numFmtId="168" fontId="7" fillId="4" borderId="0" xfId="1" applyNumberFormat="1" applyFont="1" applyFill="1" applyBorder="1" applyAlignment="1">
      <alignment horizontal="left" vertical="top" wrapText="1" readingOrder="1"/>
    </xf>
    <xf numFmtId="168" fontId="7" fillId="20" borderId="1" xfId="1" applyNumberFormat="1" applyFont="1" applyFill="1" applyBorder="1" applyAlignment="1">
      <alignment horizontal="left" vertical="top" wrapText="1" readingOrder="1"/>
    </xf>
    <xf numFmtId="168" fontId="8" fillId="0" borderId="1" xfId="1" applyNumberFormat="1" applyFont="1" applyBorder="1" applyAlignment="1">
      <alignment horizontal="left" vertical="top" wrapText="1" readingOrder="1"/>
    </xf>
    <xf numFmtId="168" fontId="7" fillId="0" borderId="4" xfId="1" applyNumberFormat="1" applyFont="1" applyBorder="1" applyAlignment="1">
      <alignment horizontal="left" vertical="top" wrapText="1" readingOrder="1"/>
    </xf>
    <xf numFmtId="168" fontId="7" fillId="4" borderId="4" xfId="1" applyNumberFormat="1" applyFont="1" applyFill="1" applyBorder="1" applyAlignment="1">
      <alignment horizontal="left" vertical="top" wrapText="1" readingOrder="1"/>
    </xf>
    <xf numFmtId="168" fontId="7" fillId="0" borderId="4" xfId="1" applyNumberFormat="1" applyFont="1" applyBorder="1" applyAlignment="1">
      <alignment horizontal="left" vertical="top" readingOrder="1"/>
    </xf>
    <xf numFmtId="168" fontId="9" fillId="0" borderId="4" xfId="1" applyNumberFormat="1" applyFont="1" applyBorder="1" applyAlignment="1">
      <alignment horizontal="left" vertical="top" wrapText="1" readingOrder="1"/>
    </xf>
    <xf numFmtId="168" fontId="7" fillId="0" borderId="0" xfId="1" applyNumberFormat="1" applyFont="1" applyBorder="1" applyAlignment="1">
      <alignment horizontal="left" vertical="top" wrapText="1" readingOrder="1"/>
    </xf>
    <xf numFmtId="168" fontId="5" fillId="4" borderId="0" xfId="1" applyNumberFormat="1" applyFont="1" applyFill="1" applyAlignment="1">
      <alignment vertical="top" readingOrder="1"/>
    </xf>
    <xf numFmtId="168" fontId="7" fillId="0" borderId="1" xfId="1" applyNumberFormat="1" applyFont="1" applyBorder="1" applyAlignment="1">
      <alignment horizontal="left" vertical="top" readingOrder="1"/>
    </xf>
    <xf numFmtId="168" fontId="7" fillId="0" borderId="0" xfId="1" applyNumberFormat="1" applyFont="1" applyAlignment="1">
      <alignment wrapText="1" readingOrder="1"/>
    </xf>
    <xf numFmtId="168" fontId="5" fillId="4" borderId="1" xfId="1" applyNumberFormat="1" applyFont="1" applyFill="1" applyBorder="1" applyAlignment="1">
      <alignment horizontal="left" vertical="top" wrapText="1" readingOrder="1"/>
    </xf>
    <xf numFmtId="168" fontId="7" fillId="4" borderId="0" xfId="1" applyNumberFormat="1" applyFont="1" applyFill="1" applyAlignment="1">
      <alignment vertical="top" readingOrder="1"/>
    </xf>
    <xf numFmtId="168" fontId="10" fillId="4" borderId="0" xfId="1" applyNumberFormat="1" applyFont="1" applyFill="1" applyAlignment="1">
      <alignment horizontal="center" vertical="top" readingOrder="1"/>
    </xf>
    <xf numFmtId="168" fontId="7" fillId="4" borderId="0" xfId="1" applyNumberFormat="1" applyFont="1" applyFill="1" applyAlignment="1">
      <alignment horizontal="left" vertical="top" wrapText="1" readingOrder="1"/>
    </xf>
    <xf numFmtId="168" fontId="5" fillId="4" borderId="1" xfId="0" applyNumberFormat="1" applyFont="1" applyFill="1" applyBorder="1" applyAlignment="1">
      <alignment vertical="top" wrapText="1" readingOrder="1"/>
    </xf>
    <xf numFmtId="168" fontId="7" fillId="0" borderId="1" xfId="1" applyNumberFormat="1" applyFont="1" applyBorder="1" applyAlignment="1">
      <alignment horizontal="left" vertical="top" wrapText="1" readingOrder="1"/>
    </xf>
    <xf numFmtId="168" fontId="7" fillId="4" borderId="1" xfId="1" applyNumberFormat="1" applyFont="1" applyFill="1" applyBorder="1" applyAlignment="1">
      <alignment horizontal="left" vertical="center" wrapText="1" readingOrder="1"/>
    </xf>
    <xf numFmtId="168" fontId="12" fillId="4" borderId="1" xfId="1" applyNumberFormat="1" applyFont="1" applyFill="1" applyBorder="1" applyAlignment="1">
      <alignment horizontal="left" vertical="top" wrapText="1" readingOrder="1"/>
    </xf>
    <xf numFmtId="168" fontId="5" fillId="4" borderId="6" xfId="1" applyNumberFormat="1" applyFont="1" applyFill="1" applyBorder="1" applyAlignment="1">
      <alignment horizontal="left" vertical="top" wrapText="1" readingOrder="1"/>
    </xf>
    <xf numFmtId="168" fontId="5" fillId="4" borderId="0" xfId="1" applyNumberFormat="1" applyFont="1" applyFill="1" applyAlignment="1">
      <alignment horizontal="left" vertical="top" wrapText="1" readingOrder="1"/>
    </xf>
    <xf numFmtId="168" fontId="5" fillId="4" borderId="0" xfId="1" applyNumberFormat="1" applyFont="1" applyFill="1" applyAlignment="1">
      <alignment vertical="top" wrapText="1" readingOrder="1"/>
    </xf>
    <xf numFmtId="168" fontId="7" fillId="4" borderId="1" xfId="0" applyNumberFormat="1" applyFont="1" applyFill="1" applyBorder="1" applyAlignment="1">
      <alignment horizontal="right" vertical="top" wrapText="1" readingOrder="1"/>
    </xf>
    <xf numFmtId="168" fontId="5" fillId="4" borderId="4" xfId="1" applyNumberFormat="1" applyFont="1" applyFill="1" applyBorder="1" applyAlignment="1">
      <alignment horizontal="left" vertical="top" wrapText="1" readingOrder="1"/>
    </xf>
    <xf numFmtId="168" fontId="10" fillId="0" borderId="0" xfId="1" applyNumberFormat="1" applyFont="1" applyAlignment="1">
      <alignment horizontal="center" vertical="top" readingOrder="1"/>
    </xf>
    <xf numFmtId="168" fontId="12" fillId="0" borderId="1" xfId="1" applyNumberFormat="1" applyFont="1" applyBorder="1" applyAlignment="1">
      <alignment horizontal="left" vertical="top" wrapText="1" readingOrder="1"/>
    </xf>
    <xf numFmtId="168" fontId="6" fillId="4" borderId="1" xfId="1" applyNumberFormat="1" applyFont="1" applyFill="1" applyBorder="1" applyAlignment="1">
      <alignment horizontal="left" vertical="top" readingOrder="1"/>
    </xf>
    <xf numFmtId="168" fontId="10" fillId="0" borderId="9" xfId="1" applyNumberFormat="1" applyFont="1" applyBorder="1" applyAlignment="1">
      <alignment horizontal="center" vertical="top" readingOrder="1"/>
    </xf>
    <xf numFmtId="168" fontId="5" fillId="4" borderId="2" xfId="1" applyNumberFormat="1" applyFont="1" applyFill="1" applyBorder="1" applyAlignment="1">
      <alignment horizontal="center" wrapText="1" readingOrder="1"/>
    </xf>
    <xf numFmtId="168" fontId="7" fillId="4" borderId="2" xfId="1" applyNumberFormat="1" applyFont="1" applyFill="1" applyBorder="1" applyAlignment="1">
      <alignment horizontal="left" vertical="top" wrapText="1" readingOrder="1"/>
    </xf>
    <xf numFmtId="168" fontId="7" fillId="20" borderId="2" xfId="1" applyNumberFormat="1" applyFont="1" applyFill="1" applyBorder="1" applyAlignment="1">
      <alignment horizontal="left" vertical="top" wrapText="1" readingOrder="1"/>
    </xf>
    <xf numFmtId="168" fontId="7" fillId="4" borderId="3" xfId="1" applyNumberFormat="1" applyFont="1" applyFill="1" applyBorder="1" applyAlignment="1">
      <alignment horizontal="left" vertical="top" wrapText="1" readingOrder="1"/>
    </xf>
    <xf numFmtId="168" fontId="7" fillId="0" borderId="3" xfId="1" applyNumberFormat="1" applyFont="1" applyBorder="1" applyAlignment="1">
      <alignment horizontal="left" vertical="top" wrapText="1" readingOrder="1"/>
    </xf>
    <xf numFmtId="168" fontId="5" fillId="4" borderId="2" xfId="1" applyNumberFormat="1" applyFont="1" applyFill="1" applyBorder="1" applyAlignment="1">
      <alignment horizontal="left" vertical="top" wrapText="1" readingOrder="1"/>
    </xf>
    <xf numFmtId="168" fontId="5" fillId="4" borderId="2" xfId="0" applyNumberFormat="1" applyFont="1" applyFill="1" applyBorder="1" applyAlignment="1">
      <alignment vertical="top" wrapText="1" readingOrder="1"/>
    </xf>
    <xf numFmtId="168" fontId="7" fillId="0" borderId="2" xfId="1" applyNumberFormat="1" applyFont="1" applyBorder="1" applyAlignment="1">
      <alignment horizontal="left" vertical="top" wrapText="1" readingOrder="1"/>
    </xf>
    <xf numFmtId="168" fontId="12" fillId="4" borderId="2" xfId="1" applyNumberFormat="1" applyFont="1" applyFill="1" applyBorder="1" applyAlignment="1">
      <alignment horizontal="left" vertical="top" wrapText="1" readingOrder="1"/>
    </xf>
    <xf numFmtId="168" fontId="5" fillId="4" borderId="3" xfId="1" applyNumberFormat="1" applyFont="1" applyFill="1" applyBorder="1" applyAlignment="1">
      <alignment horizontal="left" vertical="top" wrapText="1" readingOrder="1"/>
    </xf>
    <xf numFmtId="164" fontId="7" fillId="0" borderId="4" xfId="1" applyNumberFormat="1" applyFont="1" applyFill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164" fontId="5" fillId="4" borderId="4" xfId="0" applyNumberFormat="1" applyFont="1" applyFill="1" applyBorder="1" applyAlignment="1">
      <alignment horizontal="right" vertical="top" wrapText="1" readingOrder="1"/>
    </xf>
    <xf numFmtId="164" fontId="7" fillId="4" borderId="4" xfId="0" applyNumberFormat="1" applyFont="1" applyFill="1" applyBorder="1" applyAlignment="1">
      <alignment vertical="top" wrapText="1" readingOrder="1"/>
    </xf>
    <xf numFmtId="164" fontId="5" fillId="4" borderId="4" xfId="0" applyNumberFormat="1" applyFont="1" applyFill="1" applyBorder="1" applyAlignment="1">
      <alignment vertical="top" wrapText="1" readingOrder="1"/>
    </xf>
    <xf numFmtId="0" fontId="7" fillId="4" borderId="4" xfId="0" applyFont="1" applyFill="1" applyBorder="1" applyAlignment="1">
      <alignment horizontal="right" vertical="top" wrapText="1" readingOrder="1"/>
    </xf>
    <xf numFmtId="0" fontId="5" fillId="4" borderId="4" xfId="0" applyFont="1" applyFill="1" applyBorder="1" applyAlignment="1">
      <alignment horizontal="right" vertical="top" wrapText="1" readingOrder="1"/>
    </xf>
    <xf numFmtId="164" fontId="6" fillId="4" borderId="4" xfId="0" applyNumberFormat="1" applyFont="1" applyFill="1" applyBorder="1" applyAlignment="1">
      <alignment horizontal="right" vertical="top" readingOrder="1"/>
    </xf>
    <xf numFmtId="164" fontId="7" fillId="20" borderId="4" xfId="0" applyNumberFormat="1" applyFont="1" applyFill="1" applyBorder="1" applyAlignment="1">
      <alignment horizontal="right" vertical="top" wrapText="1" readingOrder="1"/>
    </xf>
    <xf numFmtId="168" fontId="10" fillId="4" borderId="0" xfId="1" applyNumberFormat="1" applyFont="1" applyFill="1" applyBorder="1" applyAlignment="1">
      <alignment horizontal="center" vertical="top" readingOrder="1"/>
    </xf>
    <xf numFmtId="168" fontId="10" fillId="0" borderId="0" xfId="1" applyNumberFormat="1" applyFont="1" applyBorder="1" applyAlignment="1">
      <alignment horizontal="center" vertical="top" readingOrder="1"/>
    </xf>
    <xf numFmtId="168" fontId="9" fillId="0" borderId="1" xfId="1" applyNumberFormat="1" applyFont="1" applyBorder="1" applyAlignment="1">
      <alignment horizontal="left" vertical="top" wrapText="1" readingOrder="1"/>
    </xf>
    <xf numFmtId="168" fontId="10" fillId="4" borderId="1" xfId="1" applyNumberFormat="1" applyFont="1" applyFill="1" applyBorder="1" applyAlignment="1">
      <alignment horizontal="center" vertical="top" readingOrder="1"/>
    </xf>
    <xf numFmtId="168" fontId="10" fillId="0" borderId="1" xfId="1" applyNumberFormat="1" applyFont="1" applyBorder="1" applyAlignment="1">
      <alignment horizontal="center" vertical="top" readingOrder="1"/>
    </xf>
    <xf numFmtId="169" fontId="7" fillId="4" borderId="1" xfId="2" applyNumberFormat="1" applyFont="1" applyFill="1" applyBorder="1" applyAlignment="1">
      <alignment horizontal="center" vertical="top" wrapText="1" readingOrder="1"/>
    </xf>
    <xf numFmtId="168" fontId="7" fillId="4" borderId="1" xfId="1" applyNumberFormat="1" applyFont="1" applyFill="1" applyBorder="1" applyAlignment="1">
      <alignment horizontal="center" vertical="top" wrapText="1" readingOrder="1"/>
    </xf>
    <xf numFmtId="168" fontId="7" fillId="20" borderId="1" xfId="1" applyNumberFormat="1" applyFont="1" applyFill="1" applyBorder="1" applyAlignment="1">
      <alignment horizontal="center" vertical="top" wrapText="1" readingOrder="1"/>
    </xf>
    <xf numFmtId="168" fontId="7" fillId="0" borderId="1" xfId="1" applyNumberFormat="1" applyFont="1" applyBorder="1" applyAlignment="1">
      <alignment horizontal="center" vertical="top" readingOrder="1"/>
    </xf>
    <xf numFmtId="168" fontId="7" fillId="0" borderId="1" xfId="1" applyNumberFormat="1" applyFont="1" applyBorder="1" applyAlignment="1">
      <alignment horizontal="center" vertical="top" wrapText="1" readingOrder="1"/>
    </xf>
    <xf numFmtId="168" fontId="5" fillId="4" borderId="1" xfId="1" applyNumberFormat="1" applyFont="1" applyFill="1" applyBorder="1" applyAlignment="1">
      <alignment horizontal="center" vertical="top" readingOrder="1"/>
    </xf>
    <xf numFmtId="168" fontId="7" fillId="0" borderId="1" xfId="1" applyNumberFormat="1" applyFont="1" applyBorder="1" applyAlignment="1">
      <alignment horizontal="center" wrapText="1" readingOrder="1"/>
    </xf>
    <xf numFmtId="168" fontId="5" fillId="4" borderId="1" xfId="1" applyNumberFormat="1" applyFont="1" applyFill="1" applyBorder="1" applyAlignment="1">
      <alignment horizontal="center" vertical="top" wrapText="1" readingOrder="1"/>
    </xf>
    <xf numFmtId="168" fontId="5" fillId="4" borderId="1" xfId="0" applyNumberFormat="1" applyFont="1" applyFill="1" applyBorder="1" applyAlignment="1">
      <alignment horizontal="center" vertical="top" wrapText="1" readingOrder="1"/>
    </xf>
    <xf numFmtId="168" fontId="7" fillId="4" borderId="1" xfId="1" applyNumberFormat="1" applyFont="1" applyFill="1" applyBorder="1" applyAlignment="1">
      <alignment horizontal="center" vertical="center" wrapText="1" readingOrder="1"/>
    </xf>
    <xf numFmtId="168" fontId="12" fillId="4" borderId="1" xfId="1" applyNumberFormat="1" applyFont="1" applyFill="1" applyBorder="1" applyAlignment="1">
      <alignment horizontal="center" vertical="top" wrapText="1" readingOrder="1"/>
    </xf>
    <xf numFmtId="168" fontId="12" fillId="0" borderId="1" xfId="1" applyNumberFormat="1" applyFont="1" applyBorder="1" applyAlignment="1">
      <alignment horizontal="center" vertical="top" wrapText="1" readingOrder="1"/>
    </xf>
    <xf numFmtId="168" fontId="6" fillId="4" borderId="1" xfId="1" applyNumberFormat="1" applyFont="1" applyFill="1" applyBorder="1" applyAlignment="1">
      <alignment horizontal="center" vertical="top" readingOrder="1"/>
    </xf>
    <xf numFmtId="168" fontId="5" fillId="4" borderId="0" xfId="1" applyNumberFormat="1" applyFont="1" applyFill="1" applyBorder="1" applyAlignment="1">
      <alignment horizontal="center" vertical="top" readingOrder="1"/>
    </xf>
    <xf numFmtId="168" fontId="7" fillId="0" borderId="0" xfId="1" applyNumberFormat="1" applyFont="1" applyBorder="1" applyAlignment="1">
      <alignment horizontal="center" wrapText="1" readingOrder="1"/>
    </xf>
    <xf numFmtId="168" fontId="7" fillId="4" borderId="0" xfId="1" applyNumberFormat="1" applyFont="1" applyFill="1" applyBorder="1" applyAlignment="1">
      <alignment horizontal="center" vertical="top" wrapText="1" readingOrder="1"/>
    </xf>
    <xf numFmtId="168" fontId="7" fillId="4" borderId="0" xfId="1" applyNumberFormat="1" applyFont="1" applyFill="1" applyBorder="1" applyAlignment="1">
      <alignment horizontal="center" vertical="top" readingOrder="1"/>
    </xf>
    <xf numFmtId="168" fontId="7" fillId="4" borderId="3" xfId="1" applyNumberFormat="1" applyFont="1" applyFill="1" applyBorder="1" applyAlignment="1">
      <alignment horizontal="center" vertical="top" wrapText="1" readingOrder="1"/>
    </xf>
    <xf numFmtId="168" fontId="7" fillId="0" borderId="3" xfId="1" applyNumberFormat="1" applyFont="1" applyBorder="1" applyAlignment="1">
      <alignment horizontal="center" vertical="top" readingOrder="1"/>
    </xf>
    <xf numFmtId="168" fontId="5" fillId="4" borderId="3" xfId="1" applyNumberFormat="1" applyFont="1" applyFill="1" applyBorder="1" applyAlignment="1">
      <alignment horizontal="center" vertical="top" readingOrder="1"/>
    </xf>
    <xf numFmtId="168" fontId="5" fillId="4" borderId="3" xfId="1" applyNumberFormat="1" applyFont="1" applyFill="1" applyBorder="1" applyAlignment="1">
      <alignment horizontal="center" vertical="top" wrapText="1" readingOrder="1"/>
    </xf>
    <xf numFmtId="168" fontId="7" fillId="0" borderId="3" xfId="1" applyNumberFormat="1" applyFont="1" applyBorder="1" applyAlignment="1">
      <alignment horizontal="center" vertical="top" wrapText="1" readingOrder="1"/>
    </xf>
    <xf numFmtId="168" fontId="7" fillId="20" borderId="3" xfId="1" applyNumberFormat="1" applyFont="1" applyFill="1" applyBorder="1" applyAlignment="1">
      <alignment horizontal="center" vertical="top" wrapText="1" readingOrder="1"/>
    </xf>
    <xf numFmtId="168" fontId="6" fillId="4" borderId="3" xfId="1" applyNumberFormat="1" applyFont="1" applyFill="1" applyBorder="1" applyAlignment="1">
      <alignment horizontal="center" vertical="top" readingOrder="1"/>
    </xf>
    <xf numFmtId="0" fontId="7" fillId="0" borderId="0" xfId="0" applyFont="1" applyAlignment="1">
      <alignment horizontal="left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7" fillId="24" borderId="1" xfId="0" applyFont="1" applyFill="1" applyBorder="1" applyAlignment="1">
      <alignment horizontal="left" vertical="top" wrapText="1" readingOrder="1"/>
    </xf>
    <xf numFmtId="164" fontId="7" fillId="24" borderId="1" xfId="0" applyNumberFormat="1" applyFont="1" applyFill="1" applyBorder="1" applyAlignment="1">
      <alignment horizontal="right" vertical="top" wrapText="1" readingOrder="1"/>
    </xf>
    <xf numFmtId="0" fontId="6" fillId="24" borderId="1" xfId="0" applyFont="1" applyFill="1" applyBorder="1" applyAlignment="1">
      <alignment horizontal="left" vertical="top" readingOrder="1"/>
    </xf>
    <xf numFmtId="168" fontId="5" fillId="24" borderId="1" xfId="1" applyNumberFormat="1" applyFont="1" applyFill="1" applyBorder="1" applyAlignment="1">
      <alignment horizontal="left" vertical="top" wrapText="1" readingOrder="1"/>
    </xf>
    <xf numFmtId="168" fontId="5" fillId="24" borderId="2" xfId="1" applyNumberFormat="1" applyFont="1" applyFill="1" applyBorder="1" applyAlignment="1">
      <alignment horizontal="left" vertical="top" wrapText="1" readingOrder="1"/>
    </xf>
    <xf numFmtId="0" fontId="5" fillId="17" borderId="6" xfId="0" applyFont="1" applyFill="1" applyBorder="1" applyAlignment="1">
      <alignment horizontal="left" vertical="top" wrapText="1" readingOrder="1"/>
    </xf>
    <xf numFmtId="164" fontId="7" fillId="24" borderId="4" xfId="0" applyNumberFormat="1" applyFont="1" applyFill="1" applyBorder="1" applyAlignment="1">
      <alignment horizontal="right" vertical="top" wrapText="1" readingOrder="1"/>
    </xf>
    <xf numFmtId="167" fontId="7" fillId="0" borderId="0" xfId="0" applyNumberFormat="1" applyFont="1" applyAlignment="1">
      <alignment wrapText="1" readingOrder="1"/>
    </xf>
    <xf numFmtId="166" fontId="7" fillId="0" borderId="2" xfId="0" applyNumberFormat="1" applyFont="1" applyBorder="1" applyAlignment="1">
      <alignment horizontal="right" vertical="top" wrapText="1" readingOrder="1"/>
    </xf>
    <xf numFmtId="164" fontId="7" fillId="0" borderId="0" xfId="0" applyNumberFormat="1" applyFont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8" fontId="7" fillId="0" borderId="1" xfId="1" applyNumberFormat="1" applyFont="1" applyFill="1" applyBorder="1" applyAlignment="1">
      <alignment horizontal="left" vertical="top" wrapText="1" readingOrder="1"/>
    </xf>
    <xf numFmtId="168" fontId="7" fillId="0" borderId="1" xfId="1" applyNumberFormat="1" applyFont="1" applyBorder="1" applyAlignment="1">
      <alignment wrapText="1" readingOrder="1"/>
    </xf>
    <xf numFmtId="0" fontId="10" fillId="4" borderId="1" xfId="0" applyFont="1" applyFill="1" applyBorder="1" applyAlignment="1">
      <alignment horizontal="center" readingOrder="1"/>
    </xf>
    <xf numFmtId="0" fontId="10" fillId="4" borderId="1" xfId="0" applyFont="1" applyFill="1" applyBorder="1" applyAlignment="1">
      <alignment horizontal="right" readingOrder="1"/>
    </xf>
    <xf numFmtId="164" fontId="10" fillId="4" borderId="1" xfId="0" applyNumberFormat="1" applyFont="1" applyFill="1" applyBorder="1" applyAlignment="1">
      <alignment horizontal="center" readingOrder="1"/>
    </xf>
    <xf numFmtId="0" fontId="10" fillId="0" borderId="1" xfId="0" applyFont="1" applyBorder="1" applyAlignment="1">
      <alignment horizontal="center" readingOrder="1"/>
    </xf>
    <xf numFmtId="0" fontId="6" fillId="24" borderId="1" xfId="0" applyFont="1" applyFill="1" applyBorder="1" applyAlignment="1">
      <alignment vertical="top" readingOrder="1"/>
    </xf>
    <xf numFmtId="164" fontId="7" fillId="17" borderId="0" xfId="0" applyNumberFormat="1" applyFont="1" applyFill="1" applyAlignment="1">
      <alignment horizontal="right" vertical="top" wrapText="1" readingOrder="1"/>
    </xf>
    <xf numFmtId="164" fontId="5" fillId="17" borderId="0" xfId="0" applyNumberFormat="1" applyFont="1" applyFill="1" applyAlignment="1">
      <alignment horizontal="right" vertical="top" wrapText="1" readingOrder="1"/>
    </xf>
    <xf numFmtId="0" fontId="7" fillId="4" borderId="1" xfId="0" applyFont="1" applyFill="1" applyBorder="1" applyAlignment="1">
      <alignment horizontal="left" wrapText="1" readingOrder="1"/>
    </xf>
    <xf numFmtId="168" fontId="7" fillId="4" borderId="1" xfId="1" applyNumberFormat="1" applyFont="1" applyFill="1" applyBorder="1" applyAlignment="1">
      <alignment horizontal="left" wrapText="1" readingOrder="1"/>
    </xf>
    <xf numFmtId="168" fontId="7" fillId="4" borderId="1" xfId="1" applyNumberFormat="1" applyFont="1" applyFill="1" applyBorder="1" applyAlignment="1">
      <alignment horizontal="center" wrapText="1" readingOrder="1"/>
    </xf>
    <xf numFmtId="164" fontId="7" fillId="4" borderId="1" xfId="0" applyNumberFormat="1" applyFont="1" applyFill="1" applyBorder="1" applyAlignment="1">
      <alignment horizontal="right" wrapText="1" readingOrder="1"/>
    </xf>
    <xf numFmtId="164" fontId="7" fillId="0" borderId="4" xfId="0" applyNumberFormat="1" applyFont="1" applyBorder="1" applyAlignment="1">
      <alignment horizontal="right" wrapText="1" readingOrder="1"/>
    </xf>
    <xf numFmtId="165" fontId="7" fillId="0" borderId="1" xfId="0" applyNumberFormat="1" applyFont="1" applyBorder="1" applyAlignment="1">
      <alignment horizontal="right" wrapText="1" readingOrder="1"/>
    </xf>
    <xf numFmtId="166" fontId="7" fillId="0" borderId="1" xfId="0" applyNumberFormat="1" applyFont="1" applyBorder="1" applyAlignment="1">
      <alignment horizontal="right" wrapText="1" readingOrder="1"/>
    </xf>
    <xf numFmtId="168" fontId="5" fillId="4" borderId="4" xfId="0" applyNumberFormat="1" applyFont="1" applyFill="1" applyBorder="1" applyAlignment="1">
      <alignment horizontal="left" vertical="top" wrapText="1" readingOrder="1"/>
    </xf>
    <xf numFmtId="168" fontId="5" fillId="4" borderId="1" xfId="0" applyNumberFormat="1" applyFont="1" applyFill="1" applyBorder="1" applyAlignment="1">
      <alignment horizontal="left" vertical="top" wrapText="1" readingOrder="1"/>
    </xf>
    <xf numFmtId="44" fontId="5" fillId="4" borderId="4" xfId="1" applyFont="1" applyFill="1" applyBorder="1" applyAlignment="1">
      <alignment horizontal="left" vertical="top" wrapText="1" readingOrder="1"/>
    </xf>
    <xf numFmtId="168" fontId="5" fillId="4" borderId="2" xfId="0" applyNumberFormat="1" applyFont="1" applyFill="1" applyBorder="1" applyAlignment="1">
      <alignment horizontal="left" vertical="top" wrapText="1" readingOrder="1"/>
    </xf>
    <xf numFmtId="168" fontId="5" fillId="4" borderId="4" xfId="1" applyNumberFormat="1" applyFont="1" applyFill="1" applyBorder="1" applyAlignment="1">
      <alignment vertical="top" wrapText="1" readingOrder="1"/>
    </xf>
    <xf numFmtId="168" fontId="5" fillId="7" borderId="1" xfId="1" applyNumberFormat="1" applyFont="1" applyFill="1" applyBorder="1" applyAlignment="1">
      <alignment horizontal="left" vertical="top" wrapText="1" readingOrder="1"/>
    </xf>
    <xf numFmtId="168" fontId="10" fillId="4" borderId="0" xfId="1" applyNumberFormat="1" applyFont="1" applyFill="1" applyAlignment="1">
      <alignment horizontal="left" vertical="top" readingOrder="1"/>
    </xf>
    <xf numFmtId="168" fontId="5" fillId="4" borderId="14" xfId="1" applyNumberFormat="1" applyFont="1" applyFill="1" applyBorder="1" applyAlignment="1">
      <alignment horizontal="center" vertical="top" wrapText="1" readingOrder="1"/>
    </xf>
    <xf numFmtId="168" fontId="10" fillId="0" borderId="15" xfId="1" applyNumberFormat="1" applyFont="1" applyBorder="1" applyAlignment="1">
      <alignment horizontal="center" vertical="top" readingOrder="1"/>
    </xf>
    <xf numFmtId="168" fontId="7" fillId="0" borderId="0" xfId="1" applyNumberFormat="1" applyFont="1" applyAlignment="1">
      <alignment horizontal="left" wrapText="1" readingOrder="1"/>
    </xf>
    <xf numFmtId="168" fontId="7" fillId="0" borderId="4" xfId="1" applyNumberFormat="1" applyFont="1" applyFill="1" applyBorder="1" applyAlignment="1">
      <alignment horizontal="left" vertical="top" wrapText="1" readingOrder="1"/>
    </xf>
    <xf numFmtId="0" fontId="18" fillId="24" borderId="1" xfId="0" applyFont="1" applyFill="1" applyBorder="1" applyAlignment="1">
      <alignment horizontal="left" vertical="top" wrapText="1" readingOrder="1"/>
    </xf>
    <xf numFmtId="0" fontId="6" fillId="24" borderId="1" xfId="0" applyFont="1" applyFill="1" applyBorder="1" applyAlignment="1">
      <alignment horizontal="left" readingOrder="1"/>
    </xf>
    <xf numFmtId="168" fontId="6" fillId="24" borderId="1" xfId="1" applyNumberFormat="1" applyFont="1" applyFill="1" applyBorder="1" applyAlignment="1">
      <alignment horizontal="center" readingOrder="1"/>
    </xf>
    <xf numFmtId="168" fontId="10" fillId="24" borderId="1" xfId="1" applyNumberFormat="1" applyFont="1" applyFill="1" applyBorder="1" applyAlignment="1">
      <alignment horizontal="center" readingOrder="1"/>
    </xf>
    <xf numFmtId="10" fontId="7" fillId="0" borderId="0" xfId="2" applyNumberFormat="1" applyFont="1" applyAlignment="1">
      <alignment wrapText="1" readingOrder="1"/>
    </xf>
    <xf numFmtId="0" fontId="7" fillId="0" borderId="1" xfId="0" applyFont="1" applyBorder="1" applyAlignment="1">
      <alignment wrapText="1" readingOrder="1"/>
    </xf>
    <xf numFmtId="168" fontId="7" fillId="25" borderId="1" xfId="1" applyNumberFormat="1" applyFont="1" applyFill="1" applyBorder="1" applyAlignment="1">
      <alignment horizontal="left" vertical="top" wrapText="1" readingOrder="1"/>
    </xf>
    <xf numFmtId="168" fontId="7" fillId="25" borderId="0" xfId="1" applyNumberFormat="1" applyFont="1" applyFill="1" applyBorder="1" applyAlignment="1">
      <alignment horizontal="left" vertical="top" wrapText="1" readingOrder="1"/>
    </xf>
    <xf numFmtId="168" fontId="7" fillId="13" borderId="1" xfId="1" applyNumberFormat="1" applyFont="1" applyFill="1" applyBorder="1" applyAlignment="1">
      <alignment horizontal="left" vertical="top" wrapText="1" readingOrder="1"/>
    </xf>
    <xf numFmtId="168" fontId="7" fillId="0" borderId="3" xfId="1" applyNumberFormat="1" applyFont="1" applyFill="1" applyBorder="1" applyAlignment="1">
      <alignment horizontal="left" vertical="top" wrapText="1" readingOrder="1"/>
    </xf>
    <xf numFmtId="168" fontId="7" fillId="0" borderId="1" xfId="1" applyNumberFormat="1" applyFont="1" applyFill="1" applyBorder="1" applyAlignment="1">
      <alignment horizontal="center" vertical="top" wrapText="1" readingOrder="1"/>
    </xf>
    <xf numFmtId="170" fontId="7" fillId="0" borderId="0" xfId="5" applyNumberFormat="1" applyFont="1" applyAlignment="1">
      <alignment wrapText="1" readingOrder="1"/>
    </xf>
    <xf numFmtId="0" fontId="5" fillId="0" borderId="1" xfId="0" applyFont="1" applyBorder="1" applyAlignment="1">
      <alignment horizontal="left" vertical="top" wrapText="1" readingOrder="1"/>
    </xf>
    <xf numFmtId="168" fontId="5" fillId="0" borderId="1" xfId="1" applyNumberFormat="1" applyFont="1" applyFill="1" applyBorder="1" applyAlignment="1">
      <alignment horizontal="left" vertical="top" wrapText="1" readingOrder="1"/>
    </xf>
    <xf numFmtId="168" fontId="8" fillId="0" borderId="1" xfId="1" applyNumberFormat="1" applyFont="1" applyFill="1" applyBorder="1" applyAlignment="1">
      <alignment horizontal="left" vertical="top" wrapText="1" readingOrder="1"/>
    </xf>
    <xf numFmtId="168" fontId="7" fillId="4" borderId="2" xfId="1" applyNumberFormat="1" applyFont="1" applyFill="1" applyBorder="1" applyAlignment="1">
      <alignment horizontal="center" vertical="top" wrapText="1" readingOrder="1"/>
    </xf>
    <xf numFmtId="0" fontId="5" fillId="4" borderId="4" xfId="0" applyFont="1" applyFill="1" applyBorder="1" applyAlignment="1">
      <alignment horizontal="center" vertical="top" wrapText="1" readingOrder="1"/>
    </xf>
    <xf numFmtId="164" fontId="7" fillId="0" borderId="4" xfId="1" applyNumberFormat="1" applyFont="1" applyFill="1" applyBorder="1" applyAlignment="1">
      <alignment horizontal="right"/>
    </xf>
    <xf numFmtId="164" fontId="7" fillId="4" borderId="4" xfId="1" applyNumberFormat="1" applyFont="1" applyFill="1" applyBorder="1" applyAlignment="1">
      <alignment horizontal="right" vertical="top" wrapText="1" readingOrder="1"/>
    </xf>
    <xf numFmtId="0" fontId="7" fillId="0" borderId="4" xfId="0" applyFont="1" applyBorder="1" applyAlignment="1">
      <alignment horizontal="right" wrapText="1" readingOrder="1"/>
    </xf>
    <xf numFmtId="164" fontId="7" fillId="17" borderId="17" xfId="1" applyNumberFormat="1" applyFont="1" applyFill="1" applyBorder="1" applyAlignment="1">
      <alignment horizontal="right" vertical="top" wrapText="1" readingOrder="1"/>
    </xf>
    <xf numFmtId="167" fontId="7" fillId="0" borderId="4" xfId="1" applyNumberFormat="1" applyFont="1" applyFill="1" applyBorder="1" applyAlignment="1">
      <alignment horizontal="right" vertical="top" wrapText="1" readingOrder="1"/>
    </xf>
    <xf numFmtId="167" fontId="7" fillId="0" borderId="4" xfId="1" applyNumberFormat="1" applyFont="1" applyFill="1" applyBorder="1" applyAlignment="1">
      <alignment horizontal="right" wrapText="1" readingOrder="1"/>
    </xf>
    <xf numFmtId="164" fontId="5" fillId="4" borderId="4" xfId="1" applyNumberFormat="1" applyFont="1" applyFill="1" applyBorder="1" applyAlignment="1">
      <alignment horizontal="right" vertical="top" wrapText="1" readingOrder="1"/>
    </xf>
    <xf numFmtId="164" fontId="7" fillId="17" borderId="17" xfId="0" applyNumberFormat="1" applyFont="1" applyFill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7" fillId="17" borderId="16" xfId="0" applyFont="1" applyFill="1" applyBorder="1" applyAlignment="1">
      <alignment vertical="top" readingOrder="1"/>
    </xf>
    <xf numFmtId="0" fontId="7" fillId="20" borderId="4" xfId="0" applyFont="1" applyFill="1" applyBorder="1" applyAlignment="1">
      <alignment horizontal="right" wrapText="1" readingOrder="1"/>
    </xf>
    <xf numFmtId="0" fontId="7" fillId="17" borderId="16" xfId="0" applyFont="1" applyFill="1" applyBorder="1" applyAlignment="1">
      <alignment horizontal="right" vertical="top" wrapText="1" readingOrder="1"/>
    </xf>
    <xf numFmtId="0" fontId="7" fillId="17" borderId="16" xfId="0" applyFont="1" applyFill="1" applyBorder="1" applyAlignment="1">
      <alignment horizontal="right" wrapText="1" readingOrder="1"/>
    </xf>
    <xf numFmtId="164" fontId="7" fillId="17" borderId="18" xfId="0" applyNumberFormat="1" applyFont="1" applyFill="1" applyBorder="1" applyAlignment="1">
      <alignment horizontal="right" vertical="top" wrapText="1" readingOrder="1"/>
    </xf>
    <xf numFmtId="0" fontId="10" fillId="4" borderId="4" xfId="0" applyFont="1" applyFill="1" applyBorder="1" applyAlignment="1">
      <alignment horizontal="right" readingOrder="1"/>
    </xf>
    <xf numFmtId="164" fontId="7" fillId="0" borderId="18" xfId="0" applyNumberFormat="1" applyFont="1" applyBorder="1" applyAlignment="1">
      <alignment horizontal="right"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4" fontId="7" fillId="4" borderId="4" xfId="0" applyNumberFormat="1" applyFont="1" applyFill="1" applyBorder="1" applyAlignment="1">
      <alignment horizontal="right" wrapText="1" readingOrder="1"/>
    </xf>
    <xf numFmtId="0" fontId="10" fillId="17" borderId="16" xfId="0" applyFont="1" applyFill="1" applyBorder="1" applyAlignment="1">
      <alignment horizontal="right" vertical="top" readingOrder="1"/>
    </xf>
    <xf numFmtId="0" fontId="7" fillId="17" borderId="17" xfId="0" applyFont="1" applyFill="1" applyBorder="1" applyAlignment="1">
      <alignment horizontal="right" wrapText="1" readingOrder="1"/>
    </xf>
    <xf numFmtId="168" fontId="5" fillId="4" borderId="19" xfId="1" applyNumberFormat="1" applyFont="1" applyFill="1" applyBorder="1" applyAlignment="1">
      <alignment horizontal="center" wrapText="1" readingOrder="1"/>
    </xf>
    <xf numFmtId="168" fontId="7" fillId="4" borderId="13" xfId="1" applyNumberFormat="1" applyFont="1" applyFill="1" applyBorder="1" applyAlignment="1">
      <alignment horizontal="center" vertical="top" wrapText="1" readingOrder="1"/>
    </xf>
    <xf numFmtId="168" fontId="5" fillId="4" borderId="12" xfId="1" applyNumberFormat="1" applyFont="1" applyFill="1" applyBorder="1" applyAlignment="1">
      <alignment horizontal="center" vertical="top" readingOrder="1"/>
    </xf>
    <xf numFmtId="168" fontId="7" fillId="0" borderId="13" xfId="1" applyNumberFormat="1" applyFont="1" applyBorder="1" applyAlignment="1">
      <alignment horizontal="center" vertical="top" readingOrder="1"/>
    </xf>
    <xf numFmtId="168" fontId="7" fillId="0" borderId="12" xfId="1" applyNumberFormat="1" applyFont="1" applyBorder="1" applyAlignment="1">
      <alignment horizontal="center" wrapText="1" readingOrder="1"/>
    </xf>
    <xf numFmtId="0" fontId="5" fillId="16" borderId="12" xfId="0" applyFont="1" applyFill="1" applyBorder="1" applyAlignment="1">
      <alignment horizontal="left" vertical="top" wrapText="1" readingOrder="1"/>
    </xf>
    <xf numFmtId="168" fontId="7" fillId="4" borderId="12" xfId="1" applyNumberFormat="1" applyFont="1" applyFill="1" applyBorder="1" applyAlignment="1">
      <alignment horizontal="center" vertical="top" wrapText="1" readingOrder="1"/>
    </xf>
    <xf numFmtId="168" fontId="7" fillId="4" borderId="12" xfId="1" applyNumberFormat="1" applyFont="1" applyFill="1" applyBorder="1" applyAlignment="1">
      <alignment horizontal="center" vertical="top" readingOrder="1"/>
    </xf>
    <xf numFmtId="0" fontId="5" fillId="16" borderId="20" xfId="0" applyFont="1" applyFill="1" applyBorder="1" applyAlignment="1">
      <alignment horizontal="left" vertical="top" wrapText="1" readingOrder="1"/>
    </xf>
    <xf numFmtId="168" fontId="5" fillId="4" borderId="13" xfId="1" applyNumberFormat="1" applyFont="1" applyFill="1" applyBorder="1" applyAlignment="1">
      <alignment horizontal="center" vertical="top" wrapText="1" readingOrder="1"/>
    </xf>
    <xf numFmtId="168" fontId="10" fillId="4" borderId="12" xfId="1" applyNumberFormat="1" applyFont="1" applyFill="1" applyBorder="1" applyAlignment="1">
      <alignment horizontal="center" vertical="top" readingOrder="1"/>
    </xf>
    <xf numFmtId="168" fontId="7" fillId="0" borderId="13" xfId="1" applyNumberFormat="1" applyFont="1" applyBorder="1" applyAlignment="1">
      <alignment horizontal="center" vertical="top" wrapText="1" readingOrder="1"/>
    </xf>
    <xf numFmtId="168" fontId="7" fillId="4" borderId="13" xfId="1" applyNumberFormat="1" applyFont="1" applyFill="1" applyBorder="1" applyAlignment="1">
      <alignment horizontal="center" vertical="center" wrapText="1" readingOrder="1"/>
    </xf>
    <xf numFmtId="168" fontId="5" fillId="4" borderId="20" xfId="1" applyNumberFormat="1" applyFont="1" applyFill="1" applyBorder="1" applyAlignment="1">
      <alignment horizontal="center" vertical="top" wrapText="1" readingOrder="1"/>
    </xf>
    <xf numFmtId="168" fontId="5" fillId="4" borderId="12" xfId="1" applyNumberFormat="1" applyFont="1" applyFill="1" applyBorder="1" applyAlignment="1">
      <alignment horizontal="center" vertical="top" wrapText="1" readingOrder="1"/>
    </xf>
    <xf numFmtId="168" fontId="10" fillId="0" borderId="12" xfId="1" applyNumberFormat="1" applyFont="1" applyBorder="1" applyAlignment="1">
      <alignment horizontal="center" vertical="top" readingOrder="1"/>
    </xf>
    <xf numFmtId="168" fontId="10" fillId="4" borderId="13" xfId="1" applyNumberFormat="1" applyFont="1" applyFill="1" applyBorder="1" applyAlignment="1">
      <alignment horizontal="center" readingOrder="1"/>
    </xf>
    <xf numFmtId="168" fontId="7" fillId="20" borderId="13" xfId="1" applyNumberFormat="1" applyFont="1" applyFill="1" applyBorder="1" applyAlignment="1">
      <alignment horizontal="center" vertical="top" wrapText="1" readingOrder="1"/>
    </xf>
    <xf numFmtId="0" fontId="7" fillId="4" borderId="12" xfId="0" applyFont="1" applyFill="1" applyBorder="1" applyAlignment="1">
      <alignment horizontal="left" vertical="top" wrapText="1" readingOrder="1"/>
    </xf>
    <xf numFmtId="0" fontId="7" fillId="24" borderId="13" xfId="0" applyFont="1" applyFill="1" applyBorder="1" applyAlignment="1">
      <alignment horizontal="left" vertical="top" wrapText="1" readingOrder="1"/>
    </xf>
    <xf numFmtId="168" fontId="6" fillId="4" borderId="13" xfId="1" applyNumberFormat="1" applyFont="1" applyFill="1" applyBorder="1" applyAlignment="1">
      <alignment horizontal="center" vertical="top" readingOrder="1"/>
    </xf>
    <xf numFmtId="0" fontId="15" fillId="0" borderId="0" xfId="0" applyFont="1" applyAlignment="1">
      <alignment horizontal="center" wrapText="1" readingOrder="1"/>
    </xf>
    <xf numFmtId="44" fontId="7" fillId="0" borderId="0" xfId="1" applyFont="1" applyAlignment="1">
      <alignment wrapText="1" readingOrder="1"/>
    </xf>
    <xf numFmtId="165" fontId="7" fillId="0" borderId="1" xfId="0" applyNumberFormat="1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0" fontId="7" fillId="7" borderId="0" xfId="0" applyFont="1" applyFill="1" applyAlignment="1">
      <alignment wrapText="1" readingOrder="1"/>
    </xf>
    <xf numFmtId="164" fontId="7" fillId="13" borderId="1" xfId="0" applyNumberFormat="1" applyFont="1" applyFill="1" applyBorder="1" applyAlignment="1">
      <alignment wrapText="1" readingOrder="1"/>
    </xf>
    <xf numFmtId="168" fontId="5" fillId="26" borderId="1" xfId="1" applyNumberFormat="1" applyFont="1" applyFill="1" applyBorder="1" applyAlignment="1">
      <alignment horizontal="left" vertical="top" wrapText="1" readingOrder="1"/>
    </xf>
    <xf numFmtId="0" fontId="12" fillId="0" borderId="0" xfId="0" applyFont="1" applyAlignment="1">
      <alignment wrapText="1" readingOrder="1"/>
    </xf>
    <xf numFmtId="168" fontId="12" fillId="0" borderId="0" xfId="0" applyNumberFormat="1" applyFont="1" applyAlignment="1">
      <alignment wrapText="1" readingOrder="1"/>
    </xf>
    <xf numFmtId="164" fontId="19" fillId="7" borderId="1" xfId="0" applyNumberFormat="1" applyFont="1" applyFill="1" applyBorder="1" applyAlignment="1">
      <alignment horizontal="right" wrapText="1" readingOrder="1"/>
    </xf>
    <xf numFmtId="10" fontId="19" fillId="7" borderId="1" xfId="2" applyNumberFormat="1" applyFont="1" applyFill="1" applyBorder="1" applyAlignment="1">
      <alignment wrapText="1" readingOrder="1"/>
    </xf>
    <xf numFmtId="164" fontId="19" fillId="7" borderId="1" xfId="2" applyNumberFormat="1" applyFont="1" applyFill="1" applyBorder="1" applyAlignment="1">
      <alignment wrapText="1" readingOrder="1"/>
    </xf>
    <xf numFmtId="168" fontId="5" fillId="9" borderId="1" xfId="1" applyNumberFormat="1" applyFont="1" applyFill="1" applyBorder="1" applyAlignment="1">
      <alignment horizontal="left" vertical="top" wrapText="1" readingOrder="1"/>
    </xf>
    <xf numFmtId="168" fontId="5" fillId="9" borderId="4" xfId="1" applyNumberFormat="1" applyFont="1" applyFill="1" applyBorder="1" applyAlignment="1">
      <alignment horizontal="left" vertical="top" readingOrder="1"/>
    </xf>
    <xf numFmtId="168" fontId="5" fillId="26" borderId="4" xfId="1" applyNumberFormat="1" applyFont="1" applyFill="1" applyBorder="1" applyAlignment="1">
      <alignment horizontal="left" vertical="top" wrapText="1" readingOrder="1"/>
    </xf>
    <xf numFmtId="168" fontId="5" fillId="7" borderId="0" xfId="1" applyNumberFormat="1" applyFont="1" applyFill="1" applyBorder="1" applyAlignment="1">
      <alignment horizontal="left" vertical="top" wrapText="1" readingOrder="1"/>
    </xf>
    <xf numFmtId="168" fontId="21" fillId="6" borderId="1" xfId="1" applyNumberFormat="1" applyFont="1" applyFill="1" applyBorder="1" applyAlignment="1">
      <alignment horizontal="left" vertical="top" wrapText="1" readingOrder="1"/>
    </xf>
    <xf numFmtId="168" fontId="5" fillId="8" borderId="1" xfId="1" applyNumberFormat="1" applyFont="1" applyFill="1" applyBorder="1" applyAlignment="1">
      <alignment horizontal="left" vertical="top" wrapText="1" readingOrder="1"/>
    </xf>
    <xf numFmtId="167" fontId="7" fillId="8" borderId="1" xfId="1" applyNumberFormat="1" applyFont="1" applyFill="1" applyBorder="1" applyAlignment="1">
      <alignment horizontal="right" vertical="top" wrapText="1" readingOrder="1"/>
    </xf>
    <xf numFmtId="9" fontId="7" fillId="0" borderId="0" xfId="2" applyFont="1" applyFill="1" applyAlignment="1">
      <alignment wrapText="1" readingOrder="1"/>
    </xf>
    <xf numFmtId="168" fontId="5" fillId="16" borderId="6" xfId="1" applyNumberFormat="1" applyFont="1" applyFill="1" applyBorder="1" applyAlignment="1">
      <alignment vertical="top" wrapText="1" readingOrder="1"/>
    </xf>
    <xf numFmtId="168" fontId="7" fillId="4" borderId="1" xfId="1" applyNumberFormat="1" applyFont="1" applyFill="1" applyBorder="1" applyAlignment="1">
      <alignment vertical="top" wrapText="1" readingOrder="1"/>
    </xf>
    <xf numFmtId="168" fontId="7" fillId="0" borderId="4" xfId="1" applyNumberFormat="1" applyFont="1" applyBorder="1" applyAlignment="1">
      <alignment vertical="top" wrapText="1" readingOrder="1"/>
    </xf>
    <xf numFmtId="168" fontId="7" fillId="4" borderId="4" xfId="1" applyNumberFormat="1" applyFont="1" applyFill="1" applyBorder="1" applyAlignment="1">
      <alignment vertical="top" wrapText="1" readingOrder="1"/>
    </xf>
    <xf numFmtId="168" fontId="19" fillId="4" borderId="22" xfId="1" applyNumberFormat="1" applyFont="1" applyFill="1" applyBorder="1" applyAlignment="1">
      <alignment horizontal="center" wrapText="1" readingOrder="1"/>
    </xf>
    <xf numFmtId="168" fontId="7" fillId="4" borderId="17" xfId="1" applyNumberFormat="1" applyFont="1" applyFill="1" applyBorder="1" applyAlignment="1">
      <alignment horizontal="center" vertical="top" wrapText="1" readingOrder="1"/>
    </xf>
    <xf numFmtId="168" fontId="5" fillId="4" borderId="17" xfId="1" applyNumberFormat="1" applyFont="1" applyFill="1" applyBorder="1" applyAlignment="1">
      <alignment horizontal="center" vertical="top" wrapText="1" readingOrder="1"/>
    </xf>
    <xf numFmtId="168" fontId="5" fillId="4" borderId="17" xfId="0" applyNumberFormat="1" applyFont="1" applyFill="1" applyBorder="1" applyAlignment="1">
      <alignment horizontal="center" vertical="top" wrapText="1" readingOrder="1"/>
    </xf>
    <xf numFmtId="168" fontId="7" fillId="4" borderId="16" xfId="1" applyNumberFormat="1" applyFont="1" applyFill="1" applyBorder="1" applyAlignment="1">
      <alignment horizontal="center" vertical="top" wrapText="1" readingOrder="1"/>
    </xf>
    <xf numFmtId="168" fontId="7" fillId="0" borderId="17" xfId="1" applyNumberFormat="1" applyFont="1" applyBorder="1" applyAlignment="1">
      <alignment horizontal="center" vertical="top" wrapText="1" readingOrder="1"/>
    </xf>
    <xf numFmtId="168" fontId="12" fillId="4" borderId="17" xfId="1" applyNumberFormat="1" applyFont="1" applyFill="1" applyBorder="1" applyAlignment="1">
      <alignment horizontal="center" vertical="top" wrapText="1" readingOrder="1"/>
    </xf>
    <xf numFmtId="168" fontId="7" fillId="4" borderId="22" xfId="1" applyNumberFormat="1" applyFont="1" applyFill="1" applyBorder="1" applyAlignment="1">
      <alignment horizontal="left" vertical="top" wrapText="1" readingOrder="1"/>
    </xf>
    <xf numFmtId="168" fontId="5" fillId="4" borderId="2" xfId="1" applyNumberFormat="1" applyFont="1" applyFill="1" applyBorder="1" applyAlignment="1">
      <alignment horizontal="center" vertical="top" wrapText="1" readingOrder="1"/>
    </xf>
    <xf numFmtId="0" fontId="5" fillId="16" borderId="16" xfId="0" applyFont="1" applyFill="1" applyBorder="1" applyAlignment="1">
      <alignment horizontal="left" vertical="top" wrapText="1" readingOrder="1"/>
    </xf>
    <xf numFmtId="168" fontId="7" fillId="20" borderId="17" xfId="1" applyNumberFormat="1" applyFont="1" applyFill="1" applyBorder="1" applyAlignment="1">
      <alignment horizontal="center" vertical="top" wrapText="1" readingOrder="1"/>
    </xf>
    <xf numFmtId="0" fontId="5" fillId="16" borderId="1" xfId="0" applyFont="1" applyFill="1" applyBorder="1" applyAlignment="1">
      <alignment horizontal="left" vertical="top" wrapText="1" readingOrder="1"/>
    </xf>
    <xf numFmtId="168" fontId="12" fillId="0" borderId="17" xfId="1" applyNumberFormat="1" applyFont="1" applyBorder="1" applyAlignment="1">
      <alignment horizontal="center" vertical="top" wrapText="1" readingOrder="1"/>
    </xf>
    <xf numFmtId="0" fontId="7" fillId="24" borderId="17" xfId="0" applyFont="1" applyFill="1" applyBorder="1" applyAlignment="1">
      <alignment horizontal="left" vertical="top" wrapText="1" readingOrder="1"/>
    </xf>
    <xf numFmtId="168" fontId="5" fillId="4" borderId="22" xfId="1" applyNumberFormat="1" applyFont="1" applyFill="1" applyBorder="1" applyAlignment="1">
      <alignment horizontal="left" vertical="top" wrapText="1" readingOrder="1"/>
    </xf>
    <xf numFmtId="168" fontId="7" fillId="4" borderId="17" xfId="1" applyNumberFormat="1" applyFont="1" applyFill="1" applyBorder="1" applyAlignment="1">
      <alignment horizontal="center" wrapText="1" readingOrder="1"/>
    </xf>
    <xf numFmtId="168" fontId="7" fillId="0" borderId="17" xfId="1" applyNumberFormat="1" applyFont="1" applyFill="1" applyBorder="1" applyAlignment="1">
      <alignment horizontal="center" vertical="top" wrapText="1" readingOrder="1"/>
    </xf>
    <xf numFmtId="168" fontId="7" fillId="0" borderId="0" xfId="1" applyNumberFormat="1" applyFont="1" applyBorder="1" applyAlignment="1">
      <alignment wrapText="1" readingOrder="1"/>
    </xf>
    <xf numFmtId="167" fontId="7" fillId="0" borderId="0" xfId="0" applyNumberFormat="1" applyFont="1" applyAlignment="1">
      <alignment horizontal="right" wrapText="1" readingOrder="1"/>
    </xf>
    <xf numFmtId="168" fontId="7" fillId="0" borderId="0" xfId="0" applyNumberFormat="1" applyFont="1" applyAlignment="1">
      <alignment horizontal="right" wrapText="1" readingOrder="1"/>
    </xf>
    <xf numFmtId="9" fontId="7" fillId="0" borderId="0" xfId="2" applyFont="1" applyBorder="1" applyAlignment="1">
      <alignment horizontal="center" wrapText="1" readingOrder="1"/>
    </xf>
    <xf numFmtId="44" fontId="7" fillId="7" borderId="0" xfId="1" applyFont="1" applyFill="1" applyAlignment="1">
      <alignment wrapText="1" readingOrder="1"/>
    </xf>
    <xf numFmtId="168" fontId="7" fillId="0" borderId="0" xfId="1" applyNumberFormat="1" applyFont="1" applyFill="1" applyAlignment="1">
      <alignment wrapText="1" readingOrder="1"/>
    </xf>
    <xf numFmtId="169" fontId="7" fillId="4" borderId="17" xfId="2" applyNumberFormat="1" applyFont="1" applyFill="1" applyBorder="1" applyAlignment="1">
      <alignment horizontal="center" vertical="top" wrapText="1" readingOrder="1"/>
    </xf>
    <xf numFmtId="169" fontId="7" fillId="4" borderId="16" xfId="2" applyNumberFormat="1" applyFont="1" applyFill="1" applyBorder="1" applyAlignment="1">
      <alignment horizontal="center" vertical="top" wrapText="1" readingOrder="1"/>
    </xf>
    <xf numFmtId="0" fontId="7" fillId="0" borderId="2" xfId="0" applyFont="1" applyBorder="1" applyAlignment="1">
      <alignment horizontal="left" vertical="top" readingOrder="1"/>
    </xf>
    <xf numFmtId="168" fontId="7" fillId="0" borderId="0" xfId="0" applyNumberFormat="1" applyFont="1" applyAlignment="1">
      <alignment wrapText="1" readingOrder="1"/>
    </xf>
    <xf numFmtId="0" fontId="5" fillId="7" borderId="0" xfId="0" applyFont="1" applyFill="1" applyAlignment="1">
      <alignment wrapText="1" readingOrder="1"/>
    </xf>
    <xf numFmtId="0" fontId="7" fillId="0" borderId="0" xfId="0" applyFont="1" applyAlignment="1">
      <alignment horizontal="center" wrapText="1" readingOrder="1"/>
    </xf>
    <xf numFmtId="164" fontId="7" fillId="0" borderId="1" xfId="0" applyNumberFormat="1" applyFont="1" applyBorder="1" applyAlignment="1">
      <alignment horizontal="center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168" fontId="7" fillId="17" borderId="1" xfId="1" applyNumberFormat="1" applyFont="1" applyFill="1" applyBorder="1" applyAlignment="1">
      <alignment horizontal="left" vertical="top" wrapText="1" readingOrder="1"/>
    </xf>
    <xf numFmtId="164" fontId="7" fillId="17" borderId="1" xfId="0" applyNumberFormat="1" applyFont="1" applyFill="1" applyBorder="1" applyAlignment="1">
      <alignment horizontal="right" vertical="top" wrapText="1" readingOrder="1"/>
    </xf>
    <xf numFmtId="168" fontId="7" fillId="17" borderId="4" xfId="1" applyNumberFormat="1" applyFont="1" applyFill="1" applyBorder="1" applyAlignment="1">
      <alignment horizontal="left" vertical="top" wrapText="1" readingOrder="1"/>
    </xf>
    <xf numFmtId="164" fontId="7" fillId="17" borderId="1" xfId="1" applyNumberFormat="1" applyFont="1" applyFill="1" applyBorder="1" applyAlignment="1">
      <alignment horizontal="right" vertical="top" wrapText="1" readingOrder="1"/>
    </xf>
    <xf numFmtId="164" fontId="7" fillId="7" borderId="1" xfId="0" applyNumberFormat="1" applyFont="1" applyFill="1" applyBorder="1" applyAlignment="1">
      <alignment vertical="top" wrapText="1" readingOrder="1"/>
    </xf>
    <xf numFmtId="165" fontId="7" fillId="7" borderId="1" xfId="0" applyNumberFormat="1" applyFont="1" applyFill="1" applyBorder="1" applyAlignment="1">
      <alignment horizontal="right" vertical="top" wrapText="1" readingOrder="1"/>
    </xf>
    <xf numFmtId="166" fontId="7" fillId="7" borderId="1" xfId="0" applyNumberFormat="1" applyFont="1" applyFill="1" applyBorder="1" applyAlignment="1">
      <alignment horizontal="right" vertical="top" wrapText="1" readingOrder="1"/>
    </xf>
    <xf numFmtId="0" fontId="5" fillId="7" borderId="0" xfId="0" applyFont="1" applyFill="1" applyAlignment="1">
      <alignment vertical="center" wrapText="1" readingOrder="1"/>
    </xf>
    <xf numFmtId="168" fontId="10" fillId="0" borderId="0" xfId="1" applyNumberFormat="1" applyFont="1" applyFill="1" applyAlignment="1">
      <alignment horizontal="center" vertical="top" readingOrder="1"/>
    </xf>
    <xf numFmtId="168" fontId="10" fillId="0" borderId="1" xfId="1" applyNumberFormat="1" applyFont="1" applyFill="1" applyBorder="1" applyAlignment="1">
      <alignment horizontal="center" vertical="top" readingOrder="1"/>
    </xf>
    <xf numFmtId="168" fontId="10" fillId="0" borderId="0" xfId="1" applyNumberFormat="1" applyFont="1" applyFill="1" applyBorder="1" applyAlignment="1">
      <alignment horizontal="center" vertical="top" readingOrder="1"/>
    </xf>
    <xf numFmtId="168" fontId="10" fillId="0" borderId="12" xfId="1" applyNumberFormat="1" applyFont="1" applyFill="1" applyBorder="1" applyAlignment="1">
      <alignment horizontal="center" vertical="top" readingOrder="1"/>
    </xf>
    <xf numFmtId="0" fontId="7" fillId="0" borderId="8" xfId="0" applyFont="1" applyBorder="1" applyAlignment="1">
      <alignment horizontal="left" vertical="top" wrapText="1" readingOrder="1"/>
    </xf>
    <xf numFmtId="167" fontId="7" fillId="7" borderId="0" xfId="0" applyNumberFormat="1" applyFont="1" applyFill="1" applyAlignment="1">
      <alignment wrapText="1" readingOrder="1"/>
    </xf>
    <xf numFmtId="0" fontId="7" fillId="0" borderId="7" xfId="0" applyFont="1" applyBorder="1" applyAlignment="1">
      <alignment horizontal="left" wrapText="1" readingOrder="1"/>
    </xf>
    <xf numFmtId="0" fontId="5" fillId="7" borderId="1" xfId="0" applyFont="1" applyFill="1" applyBorder="1" applyAlignment="1">
      <alignment horizontal="left" vertical="center" wrapText="1" readingOrder="1"/>
    </xf>
    <xf numFmtId="0" fontId="7" fillId="7" borderId="1" xfId="0" applyFont="1" applyFill="1" applyBorder="1" applyAlignment="1">
      <alignment horizontal="left" vertical="center" wrapText="1" readingOrder="1"/>
    </xf>
    <xf numFmtId="168" fontId="5" fillId="7" borderId="1" xfId="1" applyNumberFormat="1" applyFont="1" applyFill="1" applyBorder="1" applyAlignment="1">
      <alignment horizontal="left" vertical="center" wrapText="1" readingOrder="1"/>
    </xf>
    <xf numFmtId="168" fontId="7" fillId="27" borderId="1" xfId="1" applyNumberFormat="1" applyFont="1" applyFill="1" applyBorder="1" applyAlignment="1">
      <alignment horizontal="left" vertical="center" wrapText="1" readingOrder="1"/>
    </xf>
    <xf numFmtId="168" fontId="5" fillId="20" borderId="3" xfId="1" applyNumberFormat="1" applyFont="1" applyFill="1" applyBorder="1" applyAlignment="1">
      <alignment horizontal="left" vertical="center" wrapText="1" readingOrder="1"/>
    </xf>
    <xf numFmtId="168" fontId="7" fillId="7" borderId="1" xfId="1" applyNumberFormat="1" applyFont="1" applyFill="1" applyBorder="1" applyAlignment="1">
      <alignment horizontal="center" vertical="center" wrapText="1" readingOrder="1"/>
    </xf>
    <xf numFmtId="168" fontId="7" fillId="7" borderId="13" xfId="1" applyNumberFormat="1" applyFont="1" applyFill="1" applyBorder="1" applyAlignment="1">
      <alignment horizontal="center" vertical="center" wrapText="1" readingOrder="1"/>
    </xf>
    <xf numFmtId="164" fontId="7" fillId="28" borderId="4" xfId="0" applyNumberFormat="1" applyFont="1" applyFill="1" applyBorder="1" applyAlignment="1">
      <alignment vertical="center" wrapText="1" readingOrder="1"/>
    </xf>
    <xf numFmtId="164" fontId="7" fillId="22" borderId="4" xfId="0" applyNumberFormat="1" applyFont="1" applyFill="1" applyBorder="1" applyAlignment="1">
      <alignment vertical="center" wrapText="1" readingOrder="1"/>
    </xf>
    <xf numFmtId="164" fontId="7" fillId="7" borderId="1" xfId="0" applyNumberFormat="1" applyFont="1" applyFill="1" applyBorder="1" applyAlignment="1">
      <alignment vertical="center" wrapText="1" readingOrder="1"/>
    </xf>
    <xf numFmtId="164" fontId="7" fillId="20" borderId="14" xfId="0" applyNumberFormat="1" applyFont="1" applyFill="1" applyBorder="1" applyAlignment="1">
      <alignment horizontal="right" vertical="top" wrapText="1" readingOrder="1"/>
    </xf>
    <xf numFmtId="164" fontId="12" fillId="0" borderId="0" xfId="0" applyNumberFormat="1" applyFont="1" applyAlignment="1">
      <alignment horizontal="right" vertical="top" wrapText="1" readingOrder="1"/>
    </xf>
    <xf numFmtId="165" fontId="7" fillId="0" borderId="14" xfId="0" applyNumberFormat="1" applyFont="1" applyBorder="1" applyAlignment="1">
      <alignment horizontal="right" vertical="top" wrapText="1" readingOrder="1"/>
    </xf>
    <xf numFmtId="169" fontId="7" fillId="0" borderId="0" xfId="2" applyNumberFormat="1" applyFont="1" applyAlignment="1">
      <alignment wrapText="1" readingOrder="1"/>
    </xf>
    <xf numFmtId="168" fontId="7" fillId="0" borderId="2" xfId="1" applyNumberFormat="1" applyFont="1" applyFill="1" applyBorder="1" applyAlignment="1">
      <alignment horizontal="center" vertical="top" wrapText="1" readingOrder="1"/>
    </xf>
    <xf numFmtId="168" fontId="5" fillId="16" borderId="0" xfId="0" applyNumberFormat="1" applyFont="1" applyFill="1" applyAlignment="1">
      <alignment horizontal="left" vertical="top" wrapText="1" readingOrder="1"/>
    </xf>
    <xf numFmtId="168" fontId="5" fillId="16" borderId="6" xfId="0" applyNumberFormat="1" applyFont="1" applyFill="1" applyBorder="1" applyAlignment="1">
      <alignment horizontal="left" vertical="top" wrapText="1" readingOrder="1"/>
    </xf>
    <xf numFmtId="168" fontId="7" fillId="4" borderId="0" xfId="0" applyNumberFormat="1" applyFont="1" applyFill="1" applyAlignment="1">
      <alignment horizontal="left" vertical="top" wrapText="1" readingOrder="1"/>
    </xf>
    <xf numFmtId="168" fontId="7" fillId="14" borderId="1" xfId="1" applyNumberFormat="1" applyFont="1" applyFill="1" applyBorder="1" applyAlignment="1">
      <alignment horizontal="left" vertical="top" wrapText="1" readingOrder="1"/>
    </xf>
    <xf numFmtId="168" fontId="12" fillId="0" borderId="1" xfId="1" applyNumberFormat="1" applyFont="1" applyFill="1" applyBorder="1" applyAlignment="1">
      <alignment horizontal="left" vertical="top" wrapText="1" readingOrder="1"/>
    </xf>
    <xf numFmtId="0" fontId="17" fillId="0" borderId="0" xfId="0" applyFont="1">
      <alignment wrapText="1"/>
    </xf>
    <xf numFmtId="0" fontId="7" fillId="29" borderId="0" xfId="0" applyFont="1" applyFill="1" applyAlignment="1">
      <alignment wrapText="1" readingOrder="1"/>
    </xf>
    <xf numFmtId="168" fontId="7" fillId="30" borderId="4" xfId="1" applyNumberFormat="1" applyFont="1" applyFill="1" applyBorder="1" applyAlignment="1">
      <alignment horizontal="left" vertical="top" wrapText="1" readingOrder="1"/>
    </xf>
    <xf numFmtId="168" fontId="22" fillId="4" borderId="0" xfId="1" applyNumberFormat="1" applyFont="1" applyFill="1" applyAlignment="1">
      <alignment vertical="top" readingOrder="1"/>
    </xf>
    <xf numFmtId="168" fontId="7" fillId="10" borderId="1" xfId="1" applyNumberFormat="1" applyFont="1" applyFill="1" applyBorder="1" applyAlignment="1">
      <alignment horizontal="left" vertical="top" wrapText="1" readingOrder="1"/>
    </xf>
    <xf numFmtId="168" fontId="5" fillId="0" borderId="1" xfId="1" applyNumberFormat="1" applyFont="1" applyFill="1" applyBorder="1" applyAlignment="1">
      <alignment horizontal="center" vertical="top" wrapText="1" readingOrder="1"/>
    </xf>
    <xf numFmtId="168" fontId="5" fillId="4" borderId="0" xfId="0" applyNumberFormat="1" applyFont="1" applyFill="1" applyAlignment="1">
      <alignment horizontal="left" vertical="top" wrapText="1" readingOrder="1"/>
    </xf>
    <xf numFmtId="168" fontId="5" fillId="4" borderId="0" xfId="1" applyNumberFormat="1" applyFont="1" applyFill="1" applyBorder="1" applyAlignment="1">
      <alignment horizontal="left" vertical="top" wrapText="1" readingOrder="1"/>
    </xf>
    <xf numFmtId="168" fontId="5" fillId="4" borderId="0" xfId="1" applyNumberFormat="1" applyFont="1" applyFill="1" applyBorder="1" applyAlignment="1">
      <alignment horizontal="center" vertical="top" wrapText="1" readingOrder="1"/>
    </xf>
    <xf numFmtId="168" fontId="5" fillId="4" borderId="16" xfId="1" applyNumberFormat="1" applyFont="1" applyFill="1" applyBorder="1" applyAlignment="1">
      <alignment horizontal="center" vertical="top" wrapText="1" readingOrder="1"/>
    </xf>
    <xf numFmtId="168" fontId="5" fillId="4" borderId="25" xfId="1" applyNumberFormat="1" applyFont="1" applyFill="1" applyBorder="1" applyAlignment="1">
      <alignment horizontal="center" vertical="top" wrapText="1" readingOrder="1"/>
    </xf>
    <xf numFmtId="164" fontId="7" fillId="4" borderId="0" xfId="0" applyNumberFormat="1" applyFont="1" applyFill="1" applyAlignment="1">
      <alignment horizontal="right" vertical="top" wrapText="1" readingOrder="1"/>
    </xf>
    <xf numFmtId="168" fontId="5" fillId="0" borderId="4" xfId="1" applyNumberFormat="1" applyFont="1" applyFill="1" applyBorder="1" applyAlignment="1">
      <alignment horizontal="left" vertical="top" wrapText="1" readingOrder="1"/>
    </xf>
    <xf numFmtId="168" fontId="7" fillId="0" borderId="2" xfId="1" applyNumberFormat="1" applyFont="1" applyBorder="1" applyAlignment="1">
      <alignment horizontal="center" vertical="top" wrapText="1" readingOrder="1"/>
    </xf>
    <xf numFmtId="168" fontId="7" fillId="4" borderId="2" xfId="1" applyNumberFormat="1" applyFont="1" applyFill="1" applyBorder="1" applyAlignment="1">
      <alignment horizontal="center" vertical="center" wrapText="1" readingOrder="1"/>
    </xf>
    <xf numFmtId="168" fontId="12" fillId="4" borderId="2" xfId="1" applyNumberFormat="1" applyFont="1" applyFill="1" applyBorder="1" applyAlignment="1">
      <alignment horizontal="center" vertical="top" wrapText="1" readingOrder="1"/>
    </xf>
    <xf numFmtId="168" fontId="10" fillId="24" borderId="2" xfId="1" applyNumberFormat="1" applyFont="1" applyFill="1" applyBorder="1" applyAlignment="1">
      <alignment horizontal="center" readingOrder="1"/>
    </xf>
    <xf numFmtId="0" fontId="7" fillId="24" borderId="2" xfId="0" applyFont="1" applyFill="1" applyBorder="1" applyAlignment="1">
      <alignment horizontal="left" vertical="top" wrapText="1" readingOrder="1"/>
    </xf>
    <xf numFmtId="168" fontId="5" fillId="4" borderId="26" xfId="1" applyNumberFormat="1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168" fontId="23" fillId="0" borderId="0" xfId="1" applyNumberFormat="1" applyFont="1" applyFill="1" applyBorder="1" applyAlignment="1">
      <alignment horizontal="left" vertical="top" readingOrder="1"/>
    </xf>
    <xf numFmtId="168" fontId="4" fillId="0" borderId="0" xfId="1" applyNumberFormat="1" applyFont="1" applyFill="1" applyBorder="1" applyAlignment="1">
      <alignment horizontal="center" vertical="top" wrapText="1" readingOrder="1"/>
    </xf>
    <xf numFmtId="168" fontId="4" fillId="0" borderId="12" xfId="1" applyNumberFormat="1" applyFont="1" applyFill="1" applyBorder="1" applyAlignment="1">
      <alignment horizontal="center" vertical="top" wrapText="1" readingOrder="1"/>
    </xf>
    <xf numFmtId="164" fontId="23" fillId="0" borderId="3" xfId="0" applyNumberFormat="1" applyFont="1" applyBorder="1" applyAlignment="1">
      <alignment horizontal="right" vertical="top" readingOrder="1"/>
    </xf>
    <xf numFmtId="164" fontId="23" fillId="0" borderId="0" xfId="0" applyNumberFormat="1" applyFont="1" applyAlignment="1">
      <alignment horizontal="right" vertical="top" readingOrder="1"/>
    </xf>
    <xf numFmtId="10" fontId="6" fillId="0" borderId="0" xfId="2" applyNumberFormat="1" applyFont="1" applyFill="1" applyBorder="1" applyAlignment="1">
      <alignment horizontal="right" vertical="top" readingOrder="1"/>
    </xf>
    <xf numFmtId="164" fontId="6" fillId="0" borderId="6" xfId="2" applyNumberFormat="1" applyFont="1" applyFill="1" applyBorder="1" applyAlignment="1">
      <alignment horizontal="right" vertical="top" readingOrder="1"/>
    </xf>
    <xf numFmtId="164" fontId="5" fillId="0" borderId="6" xfId="0" applyNumberFormat="1" applyFont="1" applyBorder="1" applyAlignment="1">
      <alignment vertical="top" wrapText="1" readingOrder="1"/>
    </xf>
    <xf numFmtId="164" fontId="5" fillId="0" borderId="0" xfId="0" applyNumberFormat="1" applyFont="1" applyAlignment="1">
      <alignment vertical="top" wrapText="1" readingOrder="1"/>
    </xf>
    <xf numFmtId="168" fontId="10" fillId="0" borderId="3" xfId="1" applyNumberFormat="1" applyFont="1" applyBorder="1" applyAlignment="1">
      <alignment horizontal="center" vertical="top" readingOrder="1"/>
    </xf>
    <xf numFmtId="0" fontId="24" fillId="0" borderId="0" xfId="0" applyFont="1" applyAlignment="1">
      <alignment wrapText="1" readingOrder="1"/>
    </xf>
    <xf numFmtId="168" fontId="7" fillId="0" borderId="0" xfId="1" applyNumberFormat="1" applyFont="1" applyBorder="1" applyAlignment="1">
      <alignment horizontal="left" wrapText="1" readingOrder="1"/>
    </xf>
    <xf numFmtId="9" fontId="7" fillId="0" borderId="0" xfId="2" applyFont="1" applyBorder="1" applyAlignment="1">
      <alignment wrapText="1" readingOrder="1"/>
    </xf>
    <xf numFmtId="168" fontId="7" fillId="0" borderId="0" xfId="1" applyNumberFormat="1" applyFont="1" applyFill="1" applyBorder="1" applyAlignment="1">
      <alignment horizontal="center" wrapText="1" readingOrder="1"/>
    </xf>
    <xf numFmtId="164" fontId="24" fillId="0" borderId="0" xfId="0" applyNumberFormat="1" applyFont="1" applyAlignment="1">
      <alignment wrapText="1" readingOrder="1"/>
    </xf>
    <xf numFmtId="167" fontId="4" fillId="7" borderId="1" xfId="0" applyNumberFormat="1" applyFont="1" applyFill="1" applyBorder="1" applyAlignment="1">
      <alignment horizontal="right" wrapText="1" readingOrder="1"/>
    </xf>
    <xf numFmtId="0" fontId="7" fillId="20" borderId="2" xfId="0" applyFont="1" applyFill="1" applyBorder="1" applyAlignment="1">
      <alignment horizontal="left" vertical="top" wrapText="1" readingOrder="1"/>
    </xf>
    <xf numFmtId="0" fontId="25" fillId="0" borderId="0" xfId="0" applyFont="1">
      <alignment wrapText="1"/>
    </xf>
    <xf numFmtId="168" fontId="25" fillId="0" borderId="0" xfId="1" applyNumberFormat="1" applyFont="1" applyAlignment="1">
      <alignment wrapText="1"/>
    </xf>
    <xf numFmtId="168" fontId="25" fillId="0" borderId="6" xfId="1" applyNumberFormat="1" applyFont="1" applyBorder="1" applyAlignment="1">
      <alignment wrapText="1"/>
    </xf>
    <xf numFmtId="168" fontId="25" fillId="0" borderId="0" xfId="0" applyNumberFormat="1" applyFont="1">
      <alignment wrapText="1"/>
    </xf>
    <xf numFmtId="44" fontId="5" fillId="4" borderId="1" xfId="0" applyNumberFormat="1" applyFont="1" applyFill="1" applyBorder="1" applyAlignment="1">
      <alignment horizontal="left" vertical="top" wrapText="1" readingOrder="1"/>
    </xf>
    <xf numFmtId="0" fontId="27" fillId="0" borderId="0" xfId="0" applyFont="1">
      <alignment wrapText="1"/>
    </xf>
    <xf numFmtId="0" fontId="25" fillId="0" borderId="28" xfId="0" applyFont="1" applyBorder="1">
      <alignment wrapText="1"/>
    </xf>
    <xf numFmtId="0" fontId="25" fillId="0" borderId="31" xfId="0" applyFont="1" applyBorder="1">
      <alignment wrapText="1"/>
    </xf>
    <xf numFmtId="168" fontId="25" fillId="0" borderId="0" xfId="1" applyNumberFormat="1" applyFont="1" applyBorder="1" applyAlignment="1">
      <alignment wrapText="1"/>
    </xf>
    <xf numFmtId="168" fontId="25" fillId="0" borderId="16" xfId="1" applyNumberFormat="1" applyFont="1" applyBorder="1" applyAlignment="1">
      <alignment wrapText="1"/>
    </xf>
    <xf numFmtId="0" fontId="25" fillId="0" borderId="32" xfId="0" applyFont="1" applyBorder="1">
      <alignment wrapText="1"/>
    </xf>
    <xf numFmtId="168" fontId="25" fillId="0" borderId="15" xfId="1" applyNumberFormat="1" applyFont="1" applyBorder="1" applyAlignment="1">
      <alignment wrapText="1"/>
    </xf>
    <xf numFmtId="168" fontId="25" fillId="0" borderId="33" xfId="1" applyNumberFormat="1" applyFont="1" applyBorder="1" applyAlignment="1">
      <alignment wrapText="1"/>
    </xf>
    <xf numFmtId="0" fontId="26" fillId="0" borderId="35" xfId="0" applyFont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168" fontId="25" fillId="0" borderId="36" xfId="1" applyNumberFormat="1" applyFont="1" applyBorder="1" applyAlignment="1">
      <alignment wrapText="1"/>
    </xf>
    <xf numFmtId="0" fontId="26" fillId="0" borderId="0" xfId="0" applyFont="1">
      <alignment wrapText="1"/>
    </xf>
    <xf numFmtId="0" fontId="26" fillId="0" borderId="0" xfId="0" applyFont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5" fillId="0" borderId="15" xfId="0" applyFont="1" applyBorder="1">
      <alignment wrapText="1"/>
    </xf>
    <xf numFmtId="168" fontId="25" fillId="0" borderId="15" xfId="0" applyNumberFormat="1" applyFont="1" applyBorder="1">
      <alignment wrapText="1"/>
    </xf>
    <xf numFmtId="168" fontId="25" fillId="0" borderId="33" xfId="0" applyNumberFormat="1" applyFont="1" applyBorder="1">
      <alignment wrapText="1"/>
    </xf>
    <xf numFmtId="0" fontId="25" fillId="0" borderId="37" xfId="0" applyFont="1" applyBorder="1">
      <alignment wrapText="1"/>
    </xf>
    <xf numFmtId="0" fontId="25" fillId="0" borderId="6" xfId="0" applyFont="1" applyBorder="1">
      <alignment wrapText="1"/>
    </xf>
    <xf numFmtId="168" fontId="25" fillId="0" borderId="0" xfId="1" applyNumberFormat="1" applyFont="1" applyFill="1" applyBorder="1" applyAlignment="1">
      <alignment wrapText="1"/>
    </xf>
    <xf numFmtId="168" fontId="25" fillId="0" borderId="16" xfId="1" applyNumberFormat="1" applyFont="1" applyFill="1" applyBorder="1" applyAlignment="1">
      <alignment wrapText="1"/>
    </xf>
    <xf numFmtId="168" fontId="12" fillId="0" borderId="0" xfId="1" applyNumberFormat="1" applyFont="1" applyAlignment="1">
      <alignment wrapText="1" readingOrder="1"/>
    </xf>
    <xf numFmtId="164" fontId="12" fillId="0" borderId="0" xfId="1" applyNumberFormat="1" applyFont="1" applyAlignment="1">
      <alignment wrapText="1" readingOrder="1"/>
    </xf>
    <xf numFmtId="168" fontId="12" fillId="0" borderId="6" xfId="1" applyNumberFormat="1" applyFont="1" applyBorder="1" applyAlignment="1">
      <alignment wrapText="1" readingOrder="1"/>
    </xf>
    <xf numFmtId="0" fontId="12" fillId="0" borderId="0" xfId="0" applyFont="1" applyAlignment="1">
      <alignment horizontal="right" wrapText="1" readingOrder="1"/>
    </xf>
    <xf numFmtId="44" fontId="7" fillId="0" borderId="0" xfId="1" applyFont="1" applyFill="1" applyAlignment="1">
      <alignment wrapText="1" readingOrder="1"/>
    </xf>
    <xf numFmtId="168" fontId="7" fillId="0" borderId="1" xfId="1" applyNumberFormat="1" applyFont="1" applyFill="1" applyBorder="1" applyAlignment="1">
      <alignment horizontal="left" vertical="top" readingOrder="1"/>
    </xf>
    <xf numFmtId="0" fontId="12" fillId="7" borderId="0" xfId="0" applyFont="1" applyFill="1" applyAlignment="1">
      <alignment wrapText="1" readingOrder="1"/>
    </xf>
    <xf numFmtId="168" fontId="7" fillId="25" borderId="4" xfId="1" applyNumberFormat="1" applyFont="1" applyFill="1" applyBorder="1" applyAlignment="1">
      <alignment horizontal="left" vertical="top" wrapText="1" readingOrder="1"/>
    </xf>
    <xf numFmtId="0" fontId="5" fillId="0" borderId="0" xfId="0" applyFont="1" applyAlignment="1">
      <alignment vertical="center" wrapText="1" readingOrder="1"/>
    </xf>
    <xf numFmtId="164" fontId="5" fillId="16" borderId="6" xfId="0" applyNumberFormat="1" applyFont="1" applyFill="1" applyBorder="1" applyAlignment="1">
      <alignment horizontal="left" vertical="top" wrapText="1" readingOrder="1"/>
    </xf>
    <xf numFmtId="0" fontId="6" fillId="4" borderId="6" xfId="0" applyFont="1" applyFill="1" applyBorder="1" applyAlignment="1">
      <alignment horizontal="left" vertical="top" readingOrder="1"/>
    </xf>
    <xf numFmtId="168" fontId="6" fillId="4" borderId="6" xfId="1" applyNumberFormat="1" applyFont="1" applyFill="1" applyBorder="1" applyAlignment="1">
      <alignment horizontal="left" vertical="top" readingOrder="1"/>
    </xf>
    <xf numFmtId="168" fontId="6" fillId="4" borderId="6" xfId="1" applyNumberFormat="1" applyFont="1" applyFill="1" applyBorder="1" applyAlignment="1">
      <alignment horizontal="center" vertical="top" readingOrder="1"/>
    </xf>
    <xf numFmtId="168" fontId="6" fillId="4" borderId="20" xfId="1" applyNumberFormat="1" applyFont="1" applyFill="1" applyBorder="1" applyAlignment="1">
      <alignment horizontal="center" vertical="top" readingOrder="1"/>
    </xf>
    <xf numFmtId="164" fontId="6" fillId="4" borderId="3" xfId="0" applyNumberFormat="1" applyFont="1" applyFill="1" applyBorder="1" applyAlignment="1">
      <alignment horizontal="right" vertical="top" readingOrder="1"/>
    </xf>
    <xf numFmtId="164" fontId="6" fillId="4" borderId="0" xfId="0" applyNumberFormat="1" applyFont="1" applyFill="1" applyAlignment="1">
      <alignment horizontal="right" vertical="top" readingOrder="1"/>
    </xf>
    <xf numFmtId="10" fontId="6" fillId="4" borderId="0" xfId="2" applyNumberFormat="1" applyFont="1" applyFill="1" applyBorder="1" applyAlignment="1">
      <alignment horizontal="right" vertical="top" readingOrder="1"/>
    </xf>
    <xf numFmtId="164" fontId="6" fillId="4" borderId="6" xfId="2" applyNumberFormat="1" applyFont="1" applyFill="1" applyBorder="1" applyAlignment="1">
      <alignment horizontal="right" vertical="top" readingOrder="1"/>
    </xf>
    <xf numFmtId="165" fontId="6" fillId="0" borderId="6" xfId="1" applyNumberFormat="1" applyFont="1" applyFill="1" applyBorder="1" applyAlignment="1">
      <alignment horizontal="right" vertical="top" readingOrder="1"/>
    </xf>
    <xf numFmtId="166" fontId="6" fillId="0" borderId="0" xfId="1" applyNumberFormat="1" applyFont="1" applyBorder="1" applyAlignment="1">
      <alignment horizontal="center" vertical="top" readingOrder="1"/>
    </xf>
    <xf numFmtId="166" fontId="6" fillId="0" borderId="0" xfId="1" applyNumberFormat="1" applyFont="1" applyFill="1" applyBorder="1" applyAlignment="1">
      <alignment horizontal="center" vertical="top" readingOrder="1"/>
    </xf>
    <xf numFmtId="168" fontId="10" fillId="0" borderId="17" xfId="1" applyNumberFormat="1" applyFont="1" applyBorder="1" applyAlignment="1">
      <alignment horizontal="center" vertical="top" readingOrder="1"/>
    </xf>
    <xf numFmtId="0" fontId="28" fillId="0" borderId="0" xfId="0" applyFont="1">
      <alignment wrapText="1"/>
    </xf>
    <xf numFmtId="0" fontId="29" fillId="0" borderId="0" xfId="0" applyFont="1" applyAlignment="1">
      <alignment horizontal="center" wrapText="1"/>
    </xf>
    <xf numFmtId="168" fontId="28" fillId="0" borderId="0" xfId="1" applyNumberFormat="1" applyFont="1" applyAlignment="1">
      <alignment wrapText="1"/>
    </xf>
    <xf numFmtId="0" fontId="30" fillId="0" borderId="0" xfId="0" applyFont="1">
      <alignment wrapText="1"/>
    </xf>
    <xf numFmtId="0" fontId="29" fillId="0" borderId="0" xfId="0" applyFont="1">
      <alignment wrapText="1"/>
    </xf>
    <xf numFmtId="168" fontId="29" fillId="0" borderId="0" xfId="1" applyNumberFormat="1" applyFont="1" applyAlignment="1">
      <alignment wrapText="1"/>
    </xf>
    <xf numFmtId="168" fontId="28" fillId="8" borderId="1" xfId="1" applyNumberFormat="1" applyFont="1" applyFill="1" applyBorder="1" applyAlignment="1">
      <alignment horizontal="left" vertical="top" wrapText="1" readingOrder="1"/>
    </xf>
    <xf numFmtId="168" fontId="28" fillId="9" borderId="0" xfId="1" applyNumberFormat="1" applyFont="1" applyFill="1" applyAlignment="1">
      <alignment wrapText="1"/>
    </xf>
    <xf numFmtId="168" fontId="28" fillId="7" borderId="0" xfId="1" applyNumberFormat="1" applyFont="1" applyFill="1" applyAlignment="1">
      <alignment wrapText="1"/>
    </xf>
    <xf numFmtId="168" fontId="28" fillId="8" borderId="0" xfId="1" applyNumberFormat="1" applyFont="1" applyFill="1" applyBorder="1" applyAlignment="1">
      <alignment horizontal="left" vertical="top" wrapText="1" readingOrder="1"/>
    </xf>
    <xf numFmtId="168" fontId="28" fillId="4" borderId="1" xfId="1" applyNumberFormat="1" applyFont="1" applyFill="1" applyBorder="1" applyAlignment="1">
      <alignment horizontal="left" vertical="top" wrapText="1" readingOrder="1"/>
    </xf>
    <xf numFmtId="168" fontId="28" fillId="9" borderId="6" xfId="1" applyNumberFormat="1" applyFont="1" applyFill="1" applyBorder="1" applyAlignment="1">
      <alignment wrapText="1"/>
    </xf>
    <xf numFmtId="168" fontId="28" fillId="0" borderId="6" xfId="1" applyNumberFormat="1" applyFont="1" applyBorder="1" applyAlignment="1">
      <alignment wrapText="1"/>
    </xf>
    <xf numFmtId="168" fontId="28" fillId="7" borderId="6" xfId="1" applyNumberFormat="1" applyFont="1" applyFill="1" applyBorder="1" applyAlignment="1">
      <alignment wrapText="1"/>
    </xf>
    <xf numFmtId="0" fontId="31" fillId="4" borderId="1" xfId="0" applyFont="1" applyFill="1" applyBorder="1" applyAlignment="1">
      <alignment horizontal="left" vertical="top" wrapText="1" readingOrder="1"/>
    </xf>
    <xf numFmtId="168" fontId="29" fillId="4" borderId="4" xfId="1" applyNumberFormat="1" applyFont="1" applyFill="1" applyBorder="1" applyAlignment="1">
      <alignment horizontal="left" wrapText="1" readingOrder="1"/>
    </xf>
    <xf numFmtId="44" fontId="28" fillId="0" borderId="0" xfId="1" applyFont="1" applyAlignment="1">
      <alignment wrapText="1"/>
    </xf>
    <xf numFmtId="44" fontId="28" fillId="0" borderId="0" xfId="0" applyNumberFormat="1" applyFont="1">
      <alignment wrapText="1"/>
    </xf>
    <xf numFmtId="0" fontId="25" fillId="0" borderId="1" xfId="0" applyFont="1" applyBorder="1" applyAlignment="1">
      <alignment horizontal="left" vertical="top" wrapText="1" readingOrder="1"/>
    </xf>
    <xf numFmtId="170" fontId="29" fillId="0" borderId="0" xfId="5" quotePrefix="1" applyNumberFormat="1" applyFont="1" applyAlignment="1">
      <alignment horizontal="center" wrapText="1"/>
    </xf>
    <xf numFmtId="0" fontId="32" fillId="0" borderId="1" xfId="0" applyFont="1" applyBorder="1" applyAlignment="1">
      <alignment horizontal="left" vertical="top" wrapText="1" readingOrder="1"/>
    </xf>
    <xf numFmtId="168" fontId="29" fillId="7" borderId="0" xfId="1" applyNumberFormat="1" applyFont="1" applyFill="1" applyAlignment="1">
      <alignment wrapText="1"/>
    </xf>
    <xf numFmtId="168" fontId="29" fillId="7" borderId="6" xfId="1" applyNumberFormat="1" applyFont="1" applyFill="1" applyBorder="1" applyAlignment="1">
      <alignment wrapText="1"/>
    </xf>
    <xf numFmtId="44" fontId="28" fillId="0" borderId="6" xfId="1" applyFont="1" applyBorder="1" applyAlignment="1">
      <alignment wrapText="1"/>
    </xf>
    <xf numFmtId="0" fontId="8" fillId="0" borderId="1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readingOrder="1"/>
    </xf>
    <xf numFmtId="0" fontId="5" fillId="0" borderId="0" xfId="0" applyFont="1" applyAlignment="1">
      <alignment horizontal="center" vertical="top" readingOrder="1"/>
    </xf>
    <xf numFmtId="0" fontId="5" fillId="0" borderId="0" xfId="0" applyFont="1" applyAlignment="1">
      <alignment horizontal="left" vertical="top" wrapText="1" readingOrder="1"/>
    </xf>
    <xf numFmtId="44" fontId="7" fillId="0" borderId="1" xfId="1" applyFont="1" applyFill="1" applyBorder="1" applyAlignment="1">
      <alignment horizontal="left" vertical="top" wrapText="1" readingOrder="1"/>
    </xf>
    <xf numFmtId="0" fontId="5" fillId="0" borderId="6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left" vertical="top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left" wrapText="1" readingOrder="1"/>
    </xf>
    <xf numFmtId="0" fontId="6" fillId="0" borderId="1" xfId="0" applyFont="1" applyBorder="1" applyAlignment="1">
      <alignment horizontal="left" vertical="top" readingOrder="1"/>
    </xf>
    <xf numFmtId="0" fontId="6" fillId="0" borderId="6" xfId="0" applyFont="1" applyBorder="1" applyAlignment="1">
      <alignment horizontal="left" vertical="top" readingOrder="1"/>
    </xf>
    <xf numFmtId="0" fontId="5" fillId="0" borderId="10" xfId="0" applyFont="1" applyBorder="1" applyAlignment="1">
      <alignment horizontal="left" vertical="top" wrapText="1" readingOrder="1"/>
    </xf>
    <xf numFmtId="9" fontId="7" fillId="0" borderId="0" xfId="2" applyFont="1" applyFill="1" applyBorder="1" applyAlignment="1">
      <alignment wrapText="1" readingOrder="1"/>
    </xf>
    <xf numFmtId="0" fontId="7" fillId="0" borderId="4" xfId="0" applyFont="1" applyBorder="1" applyAlignment="1">
      <alignment horizontal="left" vertical="top" wrapText="1" readingOrder="1"/>
    </xf>
    <xf numFmtId="0" fontId="7" fillId="0" borderId="4" xfId="0" applyFont="1" applyBorder="1" applyAlignment="1">
      <alignment horizontal="left" vertical="top" readingOrder="1"/>
    </xf>
    <xf numFmtId="0" fontId="9" fillId="0" borderId="4" xfId="0" applyFont="1" applyBorder="1" applyAlignment="1">
      <alignment horizontal="left" vertical="top" wrapText="1" readingOrder="1"/>
    </xf>
    <xf numFmtId="0" fontId="5" fillId="0" borderId="0" xfId="0" applyFont="1" applyAlignment="1">
      <alignment vertical="top" readingOrder="1"/>
    </xf>
    <xf numFmtId="168" fontId="7" fillId="0" borderId="1" xfId="0" applyNumberFormat="1" applyFont="1" applyBorder="1" applyAlignment="1">
      <alignment horizontal="left" vertical="top" wrapText="1" readingOrder="1"/>
    </xf>
    <xf numFmtId="168" fontId="7" fillId="0" borderId="0" xfId="0" applyNumberFormat="1" applyFont="1" applyAlignment="1">
      <alignment vertical="top" readingOrder="1"/>
    </xf>
    <xf numFmtId="0" fontId="5" fillId="0" borderId="4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6" fillId="24" borderId="1" xfId="0" applyFont="1" applyFill="1" applyBorder="1" applyAlignment="1">
      <alignment horizontal="center" readingOrder="1"/>
    </xf>
    <xf numFmtId="0" fontId="5" fillId="18" borderId="0" xfId="0" applyFont="1" applyFill="1" applyAlignment="1">
      <alignment horizontal="left" vertical="top" wrapText="1" readingOrder="1"/>
    </xf>
    <xf numFmtId="0" fontId="5" fillId="18" borderId="6" xfId="0" applyFont="1" applyFill="1" applyBorder="1" applyAlignment="1">
      <alignment horizontal="left" vertical="top" wrapText="1" readingOrder="1"/>
    </xf>
    <xf numFmtId="168" fontId="5" fillId="18" borderId="0" xfId="0" applyNumberFormat="1" applyFont="1" applyFill="1" applyAlignment="1">
      <alignment horizontal="left" vertical="top" wrapText="1" readingOrder="1"/>
    </xf>
    <xf numFmtId="168" fontId="5" fillId="18" borderId="0" xfId="1" applyNumberFormat="1" applyFont="1" applyFill="1" applyBorder="1" applyAlignment="1">
      <alignment horizontal="left" vertical="top" wrapText="1" readingOrder="1"/>
    </xf>
    <xf numFmtId="168" fontId="5" fillId="18" borderId="1" xfId="1" applyNumberFormat="1" applyFont="1" applyFill="1" applyBorder="1" applyAlignment="1">
      <alignment horizontal="center" vertical="top" wrapText="1" readingOrder="1"/>
    </xf>
    <xf numFmtId="168" fontId="5" fillId="18" borderId="0" xfId="1" applyNumberFormat="1" applyFont="1" applyFill="1" applyBorder="1" applyAlignment="1">
      <alignment horizontal="center" vertical="top" wrapText="1" readingOrder="1"/>
    </xf>
    <xf numFmtId="168" fontId="5" fillId="18" borderId="16" xfId="1" applyNumberFormat="1" applyFont="1" applyFill="1" applyBorder="1" applyAlignment="1">
      <alignment horizontal="center" vertical="top" wrapText="1" readingOrder="1"/>
    </xf>
    <xf numFmtId="164" fontId="5" fillId="18" borderId="0" xfId="0" applyNumberFormat="1" applyFont="1" applyFill="1" applyAlignment="1">
      <alignment horizontal="right" vertical="top" wrapText="1" readingOrder="1"/>
    </xf>
    <xf numFmtId="168" fontId="6" fillId="24" borderId="2" xfId="1" applyNumberFormat="1" applyFont="1" applyFill="1" applyBorder="1" applyAlignment="1">
      <alignment horizontal="center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25" borderId="2" xfId="0" applyFont="1" applyFill="1" applyBorder="1" applyAlignment="1">
      <alignment horizontal="left" vertical="top" wrapText="1" readingOrder="1"/>
    </xf>
    <xf numFmtId="0" fontId="5" fillId="24" borderId="1" xfId="0" applyFont="1" applyFill="1" applyBorder="1" applyAlignment="1">
      <alignment horizontal="left" vertical="center" wrapText="1" readingOrder="1"/>
    </xf>
    <xf numFmtId="168" fontId="5" fillId="24" borderId="1" xfId="1" applyNumberFormat="1" applyFont="1" applyFill="1" applyBorder="1" applyAlignment="1">
      <alignment horizontal="left" vertical="center" wrapText="1" readingOrder="1"/>
    </xf>
    <xf numFmtId="168" fontId="5" fillId="24" borderId="2" xfId="1" applyNumberFormat="1" applyFont="1" applyFill="1" applyBorder="1" applyAlignment="1">
      <alignment horizontal="left" vertical="center" wrapText="1" readingOrder="1"/>
    </xf>
    <xf numFmtId="168" fontId="5" fillId="24" borderId="1" xfId="1" applyNumberFormat="1" applyFont="1" applyFill="1" applyBorder="1" applyAlignment="1">
      <alignment horizontal="center" vertical="center" wrapText="1" readingOrder="1"/>
    </xf>
    <xf numFmtId="168" fontId="5" fillId="24" borderId="17" xfId="1" applyNumberFormat="1" applyFont="1" applyFill="1" applyBorder="1" applyAlignment="1">
      <alignment horizontal="center" vertical="center" wrapText="1" readingOrder="1"/>
    </xf>
    <xf numFmtId="164" fontId="5" fillId="24" borderId="4" xfId="0" applyNumberFormat="1" applyFont="1" applyFill="1" applyBorder="1" applyAlignment="1">
      <alignment horizontal="right" vertical="center" wrapText="1" readingOrder="1"/>
    </xf>
    <xf numFmtId="164" fontId="5" fillId="24" borderId="1" xfId="0" applyNumberFormat="1" applyFont="1" applyFill="1" applyBorder="1" applyAlignment="1">
      <alignment horizontal="right" vertical="center" wrapText="1" readingOrder="1"/>
    </xf>
    <xf numFmtId="0" fontId="5" fillId="5" borderId="1" xfId="0" applyFont="1" applyFill="1" applyBorder="1" applyAlignment="1">
      <alignment horizontal="left" vertical="top" wrapText="1" readingOrder="1"/>
    </xf>
    <xf numFmtId="168" fontId="5" fillId="5" borderId="1" xfId="1" applyNumberFormat="1" applyFont="1" applyFill="1" applyBorder="1" applyAlignment="1">
      <alignment horizontal="left" vertical="top" wrapText="1" readingOrder="1"/>
    </xf>
    <xf numFmtId="0" fontId="4" fillId="19" borderId="1" xfId="0" applyFont="1" applyFill="1" applyBorder="1" applyAlignment="1">
      <alignment horizontal="left" vertical="center" wrapText="1" readingOrder="1"/>
    </xf>
    <xf numFmtId="168" fontId="23" fillId="19" borderId="1" xfId="1" applyNumberFormat="1" applyFont="1" applyFill="1" applyBorder="1" applyAlignment="1">
      <alignment horizontal="left" vertical="center" readingOrder="1"/>
    </xf>
    <xf numFmtId="168" fontId="4" fillId="19" borderId="1" xfId="1" applyNumberFormat="1" applyFont="1" applyFill="1" applyBorder="1" applyAlignment="1">
      <alignment horizontal="center" vertical="center" wrapText="1" readingOrder="1"/>
    </xf>
    <xf numFmtId="9" fontId="4" fillId="19" borderId="1" xfId="2" applyFont="1" applyFill="1" applyBorder="1" applyAlignment="1">
      <alignment horizontal="center" vertical="center" wrapText="1" readingOrder="1"/>
    </xf>
    <xf numFmtId="168" fontId="4" fillId="19" borderId="13" xfId="1" applyNumberFormat="1" applyFont="1" applyFill="1" applyBorder="1" applyAlignment="1">
      <alignment horizontal="center" vertical="center" wrapText="1" readingOrder="1"/>
    </xf>
    <xf numFmtId="164" fontId="23" fillId="19" borderId="4" xfId="0" applyNumberFormat="1" applyFont="1" applyFill="1" applyBorder="1" applyAlignment="1">
      <alignment horizontal="right" vertical="center" readingOrder="1"/>
    </xf>
    <xf numFmtId="164" fontId="23" fillId="19" borderId="1" xfId="0" applyNumberFormat="1" applyFont="1" applyFill="1" applyBorder="1" applyAlignment="1">
      <alignment horizontal="right" vertical="center" readingOrder="1"/>
    </xf>
    <xf numFmtId="10" fontId="6" fillId="19" borderId="1" xfId="2" applyNumberFormat="1" applyFont="1" applyFill="1" applyBorder="1" applyAlignment="1">
      <alignment horizontal="right" vertical="center" readingOrder="1"/>
    </xf>
    <xf numFmtId="164" fontId="6" fillId="19" borderId="1" xfId="2" applyNumberFormat="1" applyFont="1" applyFill="1" applyBorder="1" applyAlignment="1">
      <alignment horizontal="right" vertical="center" readingOrder="1"/>
    </xf>
    <xf numFmtId="164" fontId="6" fillId="19" borderId="1" xfId="0" applyNumberFormat="1" applyFont="1" applyFill="1" applyBorder="1" applyAlignment="1">
      <alignment horizontal="right" vertical="center" readingOrder="1"/>
    </xf>
    <xf numFmtId="0" fontId="7" fillId="0" borderId="0" xfId="0" applyFont="1" applyAlignment="1">
      <alignment vertical="center" wrapText="1" readingOrder="1"/>
    </xf>
    <xf numFmtId="0" fontId="4" fillId="19" borderId="2" xfId="0" applyFont="1" applyFill="1" applyBorder="1" applyAlignment="1">
      <alignment horizontal="left" vertical="center" wrapText="1" readingOrder="1"/>
    </xf>
    <xf numFmtId="164" fontId="5" fillId="19" borderId="1" xfId="0" applyNumberFormat="1" applyFont="1" applyFill="1" applyBorder="1" applyAlignment="1">
      <alignment vertical="center" wrapText="1" readingOrder="1"/>
    </xf>
    <xf numFmtId="165" fontId="5" fillId="19" borderId="1" xfId="0" applyNumberFormat="1" applyFont="1" applyFill="1" applyBorder="1" applyAlignment="1">
      <alignment vertical="center" wrapText="1" readingOrder="1"/>
    </xf>
    <xf numFmtId="166" fontId="5" fillId="19" borderId="1" xfId="0" applyNumberFormat="1" applyFont="1" applyFill="1" applyBorder="1" applyAlignment="1">
      <alignment vertical="center" wrapText="1" readingOrder="1"/>
    </xf>
    <xf numFmtId="168" fontId="4" fillId="19" borderId="12" xfId="1" applyNumberFormat="1" applyFont="1" applyFill="1" applyBorder="1" applyAlignment="1">
      <alignment horizontal="center" vertical="center" wrapText="1" readingOrder="1"/>
    </xf>
    <xf numFmtId="10" fontId="20" fillId="19" borderId="1" xfId="2" applyNumberFormat="1" applyFont="1" applyFill="1" applyBorder="1" applyAlignment="1">
      <alignment horizontal="center" vertical="center" readingOrder="1"/>
    </xf>
    <xf numFmtId="164" fontId="20" fillId="19" borderId="1" xfId="2" applyNumberFormat="1" applyFont="1" applyFill="1" applyBorder="1" applyAlignment="1">
      <alignment horizontal="right" vertical="center" readingOrder="1"/>
    </xf>
    <xf numFmtId="168" fontId="20" fillId="19" borderId="1" xfId="1" applyNumberFormat="1" applyFont="1" applyFill="1" applyBorder="1" applyAlignment="1">
      <alignment horizontal="right" vertical="center" readingOrder="1"/>
    </xf>
    <xf numFmtId="44" fontId="20" fillId="19" borderId="1" xfId="1" applyFont="1" applyFill="1" applyBorder="1" applyAlignment="1">
      <alignment horizontal="right" vertical="center" readingOrder="1"/>
    </xf>
    <xf numFmtId="44" fontId="20" fillId="19" borderId="2" xfId="1" applyFont="1" applyFill="1" applyBorder="1" applyAlignment="1">
      <alignment horizontal="center" vertical="center" readingOrder="1"/>
    </xf>
    <xf numFmtId="0" fontId="12" fillId="0" borderId="0" xfId="0" applyFont="1" applyAlignment="1">
      <alignment vertical="center" wrapText="1" readingOrder="1"/>
    </xf>
    <xf numFmtId="168" fontId="12" fillId="0" borderId="0" xfId="0" applyNumberFormat="1" applyFont="1" applyAlignment="1">
      <alignment vertical="center" wrapText="1" readingOrder="1"/>
    </xf>
    <xf numFmtId="168" fontId="5" fillId="8" borderId="4" xfId="1" applyNumberFormat="1" applyFont="1" applyFill="1" applyBorder="1" applyAlignment="1">
      <alignment horizontal="left" vertical="top" wrapText="1" readingOrder="1"/>
    </xf>
    <xf numFmtId="0" fontId="5" fillId="8" borderId="1" xfId="0" applyFont="1" applyFill="1" applyBorder="1" applyAlignment="1">
      <alignment horizontal="left" vertical="top" wrapText="1" readingOrder="1"/>
    </xf>
    <xf numFmtId="44" fontId="7" fillId="0" borderId="0" xfId="1" applyFont="1" applyFill="1" applyBorder="1" applyAlignment="1">
      <alignment horizontal="left" vertical="top" wrapText="1" readingOrder="1"/>
    </xf>
    <xf numFmtId="0" fontId="34" fillId="21" borderId="0" xfId="0" applyFont="1" applyFill="1" applyAlignment="1">
      <alignment horizontal="left" vertical="center" readingOrder="1"/>
    </xf>
    <xf numFmtId="0" fontId="11" fillId="21" borderId="0" xfId="0" applyFont="1" applyFill="1" applyAlignment="1">
      <alignment horizontal="left" vertical="center" readingOrder="1"/>
    </xf>
    <xf numFmtId="168" fontId="11" fillId="21" borderId="0" xfId="1" applyNumberFormat="1" applyFont="1" applyFill="1" applyAlignment="1">
      <alignment horizontal="left" vertical="center" readingOrder="1"/>
    </xf>
    <xf numFmtId="168" fontId="11" fillId="21" borderId="1" xfId="1" applyNumberFormat="1" applyFont="1" applyFill="1" applyBorder="1" applyAlignment="1">
      <alignment horizontal="center" vertical="center" readingOrder="1"/>
    </xf>
    <xf numFmtId="168" fontId="11" fillId="21" borderId="0" xfId="1" applyNumberFormat="1" applyFont="1" applyFill="1" applyBorder="1" applyAlignment="1">
      <alignment horizontal="center" vertical="center" readingOrder="1"/>
    </xf>
    <xf numFmtId="168" fontId="11" fillId="21" borderId="12" xfId="1" applyNumberFormat="1" applyFont="1" applyFill="1" applyBorder="1" applyAlignment="1">
      <alignment horizontal="center" vertical="center" readingOrder="1"/>
    </xf>
    <xf numFmtId="0" fontId="10" fillId="21" borderId="0" xfId="0" applyFont="1" applyFill="1" applyAlignment="1">
      <alignment horizontal="right" vertical="center" readingOrder="1"/>
    </xf>
    <xf numFmtId="0" fontId="10" fillId="21" borderId="0" xfId="0" applyFont="1" applyFill="1" applyAlignment="1">
      <alignment vertical="center" readingOrder="1"/>
    </xf>
    <xf numFmtId="164" fontId="10" fillId="21" borderId="0" xfId="0" applyNumberFormat="1" applyFont="1" applyFill="1" applyAlignment="1">
      <alignment vertical="center" readingOrder="1"/>
    </xf>
    <xf numFmtId="0" fontId="10" fillId="4" borderId="0" xfId="0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168" fontId="7" fillId="4" borderId="1" xfId="1" applyNumberFormat="1" applyFont="1" applyFill="1" applyBorder="1" applyAlignment="1">
      <alignment wrapText="1" readingOrder="1"/>
    </xf>
    <xf numFmtId="168" fontId="7" fillId="0" borderId="3" xfId="1" applyNumberFormat="1" applyFont="1" applyBorder="1" applyAlignment="1">
      <alignment horizontal="left" wrapText="1" readingOrder="1"/>
    </xf>
    <xf numFmtId="0" fontId="5" fillId="0" borderId="1" xfId="0" applyFont="1" applyBorder="1" applyAlignment="1">
      <alignment horizontal="left" vertical="center" wrapText="1" readingOrder="1"/>
    </xf>
    <xf numFmtId="168" fontId="5" fillId="4" borderId="1" xfId="1" applyNumberFormat="1" applyFont="1" applyFill="1" applyBorder="1" applyAlignment="1">
      <alignment vertical="center" wrapText="1" readingOrder="1"/>
    </xf>
    <xf numFmtId="44" fontId="5" fillId="4" borderId="4" xfId="1" applyFont="1" applyFill="1" applyBorder="1" applyAlignment="1">
      <alignment horizontal="left" vertical="center" wrapText="1" readingOrder="1"/>
    </xf>
    <xf numFmtId="44" fontId="5" fillId="4" borderId="1" xfId="1" applyFont="1" applyFill="1" applyBorder="1" applyAlignment="1">
      <alignment horizontal="left" vertical="center" wrapText="1" readingOrder="1"/>
    </xf>
    <xf numFmtId="168" fontId="5" fillId="4" borderId="1" xfId="1" applyNumberFormat="1" applyFont="1" applyFill="1" applyBorder="1" applyAlignment="1">
      <alignment horizontal="left" vertical="center" wrapText="1" readingOrder="1"/>
    </xf>
    <xf numFmtId="168" fontId="5" fillId="4" borderId="1" xfId="1" applyNumberFormat="1" applyFont="1" applyFill="1" applyBorder="1" applyAlignment="1">
      <alignment horizontal="center" vertical="center" wrapText="1" readingOrder="1"/>
    </xf>
    <xf numFmtId="168" fontId="5" fillId="4" borderId="17" xfId="1" applyNumberFormat="1" applyFont="1" applyFill="1" applyBorder="1" applyAlignment="1">
      <alignment horizontal="center" vertical="center" wrapText="1" readingOrder="1"/>
    </xf>
    <xf numFmtId="164" fontId="5" fillId="4" borderId="4" xfId="0" applyNumberFormat="1" applyFont="1" applyFill="1" applyBorder="1" applyAlignment="1">
      <alignment horizontal="right" vertical="center" wrapText="1" readingOrder="1"/>
    </xf>
    <xf numFmtId="164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2" applyNumberFormat="1" applyFont="1" applyFill="1" applyBorder="1" applyAlignment="1">
      <alignment horizontal="right" vertical="center" wrapText="1" readingOrder="1"/>
    </xf>
    <xf numFmtId="164" fontId="5" fillId="4" borderId="1" xfId="2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Border="1" applyAlignment="1">
      <alignment horizontal="righ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68" fontId="5" fillId="4" borderId="17" xfId="1" applyNumberFormat="1" applyFont="1" applyFill="1" applyBorder="1" applyAlignment="1">
      <alignment horizontal="center" vertical="top" readingOrder="1"/>
    </xf>
    <xf numFmtId="0" fontId="15" fillId="16" borderId="0" xfId="0" applyFont="1" applyFill="1" applyAlignment="1">
      <alignment horizontal="left" vertical="top" wrapText="1" readingOrder="1"/>
    </xf>
    <xf numFmtId="168" fontId="7" fillId="0" borderId="1" xfId="1" applyNumberFormat="1" applyFont="1" applyFill="1" applyBorder="1" applyAlignment="1">
      <alignment horizontal="left" wrapText="1" readingOrder="1"/>
    </xf>
    <xf numFmtId="168" fontId="7" fillId="4" borderId="2" xfId="1" applyNumberFormat="1" applyFont="1" applyFill="1" applyBorder="1" applyAlignment="1">
      <alignment horizontal="left" wrapText="1" readingOrder="1"/>
    </xf>
    <xf numFmtId="168" fontId="7" fillId="0" borderId="1" xfId="1" applyNumberFormat="1" applyFont="1" applyBorder="1" applyAlignment="1">
      <alignment horizontal="left" wrapText="1" readingOrder="1"/>
    </xf>
    <xf numFmtId="168" fontId="7" fillId="0" borderId="2" xfId="1" applyNumberFormat="1" applyFont="1" applyBorder="1" applyAlignment="1">
      <alignment horizontal="left" wrapText="1" readingOrder="1"/>
    </xf>
    <xf numFmtId="164" fontId="10" fillId="5" borderId="1" xfId="3" applyNumberFormat="1" applyFont="1" applyFill="1" applyBorder="1" applyAlignment="1">
      <alignment horizontal="right" wrapText="1" readingOrder="1"/>
    </xf>
    <xf numFmtId="0" fontId="7" fillId="7" borderId="1" xfId="0" applyFont="1" applyFill="1" applyBorder="1" applyAlignment="1">
      <alignment horizontal="left" wrapText="1" readingOrder="1"/>
    </xf>
    <xf numFmtId="168" fontId="7" fillId="8" borderId="1" xfId="1" applyNumberFormat="1" applyFont="1" applyFill="1" applyBorder="1" applyAlignment="1">
      <alignment horizontal="left" wrapText="1" readingOrder="1"/>
    </xf>
    <xf numFmtId="168" fontId="7" fillId="4" borderId="2" xfId="1" applyNumberFormat="1" applyFont="1" applyFill="1" applyBorder="1" applyAlignment="1">
      <alignment horizontal="center" wrapText="1" readingOrder="1"/>
    </xf>
    <xf numFmtId="168" fontId="7" fillId="0" borderId="2" xfId="1" applyNumberFormat="1" applyFont="1" applyBorder="1" applyAlignment="1">
      <alignment horizontal="center" wrapText="1" readingOrder="1"/>
    </xf>
    <xf numFmtId="168" fontId="7" fillId="0" borderId="17" xfId="1" applyNumberFormat="1" applyFont="1" applyBorder="1" applyAlignment="1">
      <alignment horizontal="center" wrapText="1" readingOrder="1"/>
    </xf>
    <xf numFmtId="168" fontId="5" fillId="13" borderId="1" xfId="1" applyNumberFormat="1" applyFont="1" applyFill="1" applyBorder="1" applyAlignment="1">
      <alignment horizontal="left" vertical="top" wrapText="1" readingOrder="1"/>
    </xf>
    <xf numFmtId="0" fontId="5" fillId="13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center" wrapText="1" readingOrder="1"/>
    </xf>
    <xf numFmtId="168" fontId="4" fillId="7" borderId="1" xfId="1" applyNumberFormat="1" applyFont="1" applyFill="1" applyBorder="1" applyAlignment="1">
      <alignment horizontal="left" vertical="center" wrapText="1" readingOrder="1"/>
    </xf>
    <xf numFmtId="168" fontId="4" fillId="7" borderId="1" xfId="1" applyNumberFormat="1" applyFont="1" applyFill="1" applyBorder="1" applyAlignment="1">
      <alignment horizontal="center" vertical="center" wrapText="1" readingOrder="1"/>
    </xf>
    <xf numFmtId="9" fontId="4" fillId="7" borderId="1" xfId="2" applyFont="1" applyFill="1" applyBorder="1" applyAlignment="1">
      <alignment horizontal="center" vertical="center" wrapText="1" readingOrder="1"/>
    </xf>
    <xf numFmtId="168" fontId="4" fillId="7" borderId="13" xfId="1" applyNumberFormat="1" applyFont="1" applyFill="1" applyBorder="1" applyAlignment="1">
      <alignment horizontal="center" vertical="center" wrapText="1" readingOrder="1"/>
    </xf>
    <xf numFmtId="164" fontId="4" fillId="7" borderId="4" xfId="0" applyNumberFormat="1" applyFont="1" applyFill="1" applyBorder="1" applyAlignment="1">
      <alignment horizontal="right" vertical="center" wrapText="1" readingOrder="1"/>
    </xf>
    <xf numFmtId="164" fontId="4" fillId="7" borderId="1" xfId="0" applyNumberFormat="1" applyFont="1" applyFill="1" applyBorder="1" applyAlignment="1">
      <alignment horizontal="right" vertical="center" wrapText="1" readingOrder="1"/>
    </xf>
    <xf numFmtId="164" fontId="4" fillId="7" borderId="1" xfId="0" applyNumberFormat="1" applyFont="1" applyFill="1" applyBorder="1" applyAlignment="1">
      <alignment vertical="center" wrapText="1" readingOrder="1"/>
    </xf>
    <xf numFmtId="168" fontId="7" fillId="0" borderId="0" xfId="1" applyNumberFormat="1" applyFont="1" applyAlignment="1">
      <alignment vertical="center" wrapText="1" readingOrder="1"/>
    </xf>
    <xf numFmtId="168" fontId="7" fillId="0" borderId="1" xfId="1" applyNumberFormat="1" applyFont="1" applyBorder="1" applyAlignment="1">
      <alignment horizontal="center" vertical="center" wrapText="1" readingOrder="1"/>
    </xf>
    <xf numFmtId="168" fontId="7" fillId="0" borderId="0" xfId="1" applyNumberFormat="1" applyFont="1" applyBorder="1" applyAlignment="1">
      <alignment horizontal="center" vertical="center" wrapText="1" readingOrder="1"/>
    </xf>
    <xf numFmtId="168" fontId="7" fillId="0" borderId="12" xfId="1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wrapText="1" readingOrder="1"/>
    </xf>
    <xf numFmtId="168" fontId="4" fillId="7" borderId="3" xfId="1" applyNumberFormat="1" applyFont="1" applyFill="1" applyBorder="1" applyAlignment="1">
      <alignment horizontal="center" vertical="center" wrapText="1" readingOrder="1"/>
    </xf>
    <xf numFmtId="168" fontId="4" fillId="7" borderId="21" xfId="1" applyNumberFormat="1" applyFont="1" applyFill="1" applyBorder="1" applyAlignment="1">
      <alignment horizontal="center" vertical="center" wrapText="1" readingOrder="1"/>
    </xf>
    <xf numFmtId="0" fontId="4" fillId="19" borderId="3" xfId="0" applyFont="1" applyFill="1" applyBorder="1" applyAlignment="1">
      <alignment horizontal="left" vertical="center" wrapText="1" readingOrder="1"/>
    </xf>
    <xf numFmtId="0" fontId="4" fillId="19" borderId="4" xfId="0" applyFont="1" applyFill="1" applyBorder="1" applyAlignment="1">
      <alignment horizontal="left" vertical="center" wrapText="1" readingOrder="1"/>
    </xf>
    <xf numFmtId="10" fontId="23" fillId="19" borderId="1" xfId="2" applyNumberFormat="1" applyFont="1" applyFill="1" applyBorder="1" applyAlignment="1">
      <alignment horizontal="right" vertical="center" readingOrder="1"/>
    </xf>
    <xf numFmtId="164" fontId="23" fillId="19" borderId="1" xfId="2" applyNumberFormat="1" applyFont="1" applyFill="1" applyBorder="1" applyAlignment="1">
      <alignment horizontal="right" vertical="center" readingOrder="1"/>
    </xf>
    <xf numFmtId="0" fontId="24" fillId="0" borderId="0" xfId="0" applyFont="1" applyAlignment="1">
      <alignment vertical="center" wrapText="1" readingOrder="1"/>
    </xf>
    <xf numFmtId="164" fontId="5" fillId="7" borderId="1" xfId="0" applyNumberFormat="1" applyFont="1" applyFill="1" applyBorder="1" applyAlignment="1">
      <alignment horizontal="right" vertical="center" wrapText="1" readingOrder="1"/>
    </xf>
    <xf numFmtId="0" fontId="4" fillId="7" borderId="1" xfId="0" applyFont="1" applyFill="1" applyBorder="1" applyAlignment="1">
      <alignment horizontal="left" vertical="center" readingOrder="1"/>
    </xf>
    <xf numFmtId="0" fontId="4" fillId="7" borderId="4" xfId="0" applyFont="1" applyFill="1" applyBorder="1" applyAlignment="1">
      <alignment horizontal="left" vertical="center" readingOrder="1"/>
    </xf>
    <xf numFmtId="168" fontId="4" fillId="7" borderId="1" xfId="1" applyNumberFormat="1" applyFont="1" applyFill="1" applyBorder="1" applyAlignment="1">
      <alignment vertical="center" wrapText="1" readingOrder="1"/>
    </xf>
    <xf numFmtId="169" fontId="4" fillId="7" borderId="2" xfId="2" applyNumberFormat="1" applyFont="1" applyFill="1" applyBorder="1" applyAlignment="1">
      <alignment horizontal="right" vertical="center" wrapText="1" readingOrder="1"/>
    </xf>
    <xf numFmtId="168" fontId="4" fillId="7" borderId="2" xfId="1" applyNumberFormat="1" applyFont="1" applyFill="1" applyBorder="1" applyAlignment="1">
      <alignment horizontal="right" vertical="center" wrapText="1" readingOrder="1"/>
    </xf>
    <xf numFmtId="168" fontId="4" fillId="7" borderId="13" xfId="1" applyNumberFormat="1" applyFont="1" applyFill="1" applyBorder="1" applyAlignment="1">
      <alignment horizontal="right" vertical="center" wrapText="1" readingOrder="1"/>
    </xf>
    <xf numFmtId="164" fontId="4" fillId="7" borderId="1" xfId="1" applyNumberFormat="1" applyFont="1" applyFill="1" applyBorder="1" applyAlignment="1">
      <alignment horizontal="right" vertical="center" wrapText="1" readingOrder="1"/>
    </xf>
    <xf numFmtId="168" fontId="4" fillId="7" borderId="4" xfId="1" applyNumberFormat="1" applyFont="1" applyFill="1" applyBorder="1" applyAlignment="1">
      <alignment horizontal="left" vertical="center" wrapText="1" readingOrder="1"/>
    </xf>
    <xf numFmtId="168" fontId="4" fillId="7" borderId="1" xfId="1" applyNumberFormat="1" applyFont="1" applyFill="1" applyBorder="1" applyAlignment="1">
      <alignment horizontal="center" vertical="center" readingOrder="1"/>
    </xf>
    <xf numFmtId="168" fontId="4" fillId="7" borderId="17" xfId="1" applyNumberFormat="1" applyFont="1" applyFill="1" applyBorder="1" applyAlignment="1">
      <alignment horizontal="center" vertical="center" readingOrder="1"/>
    </xf>
    <xf numFmtId="9" fontId="4" fillId="7" borderId="3" xfId="2" applyFont="1" applyFill="1" applyBorder="1" applyAlignment="1">
      <alignment horizontal="center" vertical="center" readingOrder="1"/>
    </xf>
    <xf numFmtId="0" fontId="33" fillId="7" borderId="2" xfId="0" applyFont="1" applyFill="1" applyBorder="1" applyAlignment="1">
      <alignment horizontal="left" vertical="center" readingOrder="1"/>
    </xf>
    <xf numFmtId="0" fontId="33" fillId="7" borderId="1" xfId="0" applyFont="1" applyFill="1" applyBorder="1" applyAlignment="1">
      <alignment horizontal="left" vertical="center" readingOrder="1"/>
    </xf>
    <xf numFmtId="0" fontId="5" fillId="10" borderId="0" xfId="0" applyFont="1" applyFill="1" applyAlignment="1">
      <alignment horizontal="left" vertical="top" wrapText="1" readingOrder="1"/>
    </xf>
    <xf numFmtId="0" fontId="4" fillId="0" borderId="14" xfId="0" applyFont="1" applyBorder="1" applyAlignment="1">
      <alignment horizontal="center" vertical="top" wrapText="1" readingOrder="1"/>
    </xf>
    <xf numFmtId="168" fontId="5" fillId="4" borderId="14" xfId="1" applyNumberFormat="1" applyFont="1" applyFill="1" applyBorder="1" applyAlignment="1">
      <alignment horizontal="center" wrapText="1" readingOrder="1"/>
    </xf>
    <xf numFmtId="0" fontId="7" fillId="0" borderId="25" xfId="0" applyFont="1" applyBorder="1" applyAlignment="1">
      <alignment horizontal="left" vertical="top" wrapText="1" readingOrder="1"/>
    </xf>
    <xf numFmtId="168" fontId="7" fillId="0" borderId="25" xfId="1" applyNumberFormat="1" applyFont="1" applyFill="1" applyBorder="1" applyAlignment="1">
      <alignment horizontal="left" vertical="top" wrapText="1" readingOrder="1"/>
    </xf>
    <xf numFmtId="0" fontId="5" fillId="10" borderId="12" xfId="0" applyFont="1" applyFill="1" applyBorder="1" applyAlignment="1">
      <alignment horizontal="left" vertical="top" wrapText="1" readingOrder="1"/>
    </xf>
    <xf numFmtId="0" fontId="5" fillId="10" borderId="16" xfId="0" applyFont="1" applyFill="1" applyBorder="1" applyAlignment="1">
      <alignment horizontal="left" vertical="top" wrapText="1" readingOrder="1"/>
    </xf>
    <xf numFmtId="0" fontId="15" fillId="10" borderId="5" xfId="0" applyFont="1" applyFill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33" fillId="10" borderId="2" xfId="0" applyFont="1" applyFill="1" applyBorder="1" applyAlignment="1">
      <alignment horizontal="left" vertical="center" wrapText="1" readingOrder="1"/>
    </xf>
    <xf numFmtId="0" fontId="4" fillId="10" borderId="0" xfId="0" applyFont="1" applyFill="1" applyAlignment="1">
      <alignment horizontal="left" vertical="center" wrapText="1" readingOrder="1"/>
    </xf>
    <xf numFmtId="168" fontId="4" fillId="10" borderId="0" xfId="1" applyNumberFormat="1" applyFont="1" applyFill="1" applyBorder="1" applyAlignment="1">
      <alignment horizontal="left" vertical="center" wrapText="1" readingOrder="1"/>
    </xf>
    <xf numFmtId="168" fontId="4" fillId="10" borderId="1" xfId="1" applyNumberFormat="1" applyFont="1" applyFill="1" applyBorder="1" applyAlignment="1">
      <alignment horizontal="center" vertical="center" wrapText="1" readingOrder="1"/>
    </xf>
    <xf numFmtId="168" fontId="4" fillId="10" borderId="0" xfId="1" applyNumberFormat="1" applyFont="1" applyFill="1" applyBorder="1" applyAlignment="1">
      <alignment horizontal="center" vertical="center" wrapText="1" readingOrder="1"/>
    </xf>
    <xf numFmtId="168" fontId="4" fillId="10" borderId="12" xfId="1" applyNumberFormat="1" applyFont="1" applyFill="1" applyBorder="1" applyAlignment="1">
      <alignment horizontal="center" vertical="center" wrapText="1" readingOrder="1"/>
    </xf>
    <xf numFmtId="0" fontId="5" fillId="10" borderId="0" xfId="0" applyFont="1" applyFill="1" applyAlignment="1">
      <alignment horizontal="right" vertical="center" wrapText="1" readingOrder="1"/>
    </xf>
    <xf numFmtId="0" fontId="5" fillId="10" borderId="0" xfId="0" applyFont="1" applyFill="1" applyAlignment="1">
      <alignment horizontal="left" vertical="center" wrapText="1" readingOrder="1"/>
    </xf>
    <xf numFmtId="0" fontId="5" fillId="5" borderId="0" xfId="0" applyFont="1" applyFill="1" applyAlignment="1">
      <alignment horizontal="left" vertical="center" wrapText="1" readingOrder="1"/>
    </xf>
    <xf numFmtId="164" fontId="5" fillId="23" borderId="0" xfId="0" applyNumberFormat="1" applyFont="1" applyFill="1" applyAlignment="1">
      <alignment horizontal="left" vertical="center" wrapText="1" readingOrder="1"/>
    </xf>
    <xf numFmtId="0" fontId="5" fillId="23" borderId="0" xfId="0" applyFont="1" applyFill="1" applyAlignment="1">
      <alignment horizontal="right" vertical="center" wrapText="1" readingOrder="1"/>
    </xf>
    <xf numFmtId="0" fontId="5" fillId="0" borderId="0" xfId="0" applyFont="1" applyAlignment="1">
      <alignment horizontal="right" vertical="center" wrapText="1" readingOrder="1"/>
    </xf>
    <xf numFmtId="44" fontId="7" fillId="0" borderId="0" xfId="0" applyNumberFormat="1" applyFont="1" applyAlignment="1">
      <alignment vertical="center" wrapText="1" readingOrder="1"/>
    </xf>
    <xf numFmtId="168" fontId="28" fillId="0" borderId="0" xfId="1" applyNumberFormat="1" applyFont="1" applyAlignment="1">
      <alignment horizontal="left" wrapText="1"/>
    </xf>
    <xf numFmtId="168" fontId="28" fillId="0" borderId="6" xfId="1" applyNumberFormat="1" applyFont="1" applyBorder="1" applyAlignment="1">
      <alignment horizontal="left" wrapText="1"/>
    </xf>
    <xf numFmtId="168" fontId="28" fillId="0" borderId="0" xfId="0" applyNumberFormat="1" applyFont="1">
      <alignment wrapText="1"/>
    </xf>
    <xf numFmtId="168" fontId="25" fillId="0" borderId="0" xfId="1" applyNumberFormat="1" applyFont="1" applyAlignment="1">
      <alignment horizontal="center" wrapText="1"/>
    </xf>
    <xf numFmtId="168" fontId="25" fillId="0" borderId="16" xfId="1" applyNumberFormat="1" applyFont="1" applyBorder="1" applyAlignment="1">
      <alignment horizontal="center" wrapText="1"/>
    </xf>
    <xf numFmtId="0" fontId="28" fillId="0" borderId="0" xfId="0" applyFont="1" applyAlignment="1">
      <alignment horizontal="right" wrapText="1"/>
    </xf>
    <xf numFmtId="0" fontId="7" fillId="13" borderId="1" xfId="0" applyFont="1" applyFill="1" applyBorder="1" applyAlignment="1">
      <alignment horizontal="left" vertical="top" wrapText="1" readingOrder="1"/>
    </xf>
    <xf numFmtId="0" fontId="5" fillId="26" borderId="1" xfId="0" applyFont="1" applyFill="1" applyBorder="1" applyAlignment="1">
      <alignment horizontal="left" vertical="top" wrapText="1" readingOrder="1"/>
    </xf>
    <xf numFmtId="168" fontId="7" fillId="31" borderId="2" xfId="1" applyNumberFormat="1" applyFont="1" applyFill="1" applyBorder="1" applyAlignment="1">
      <alignment horizontal="center" vertical="center" wrapText="1" readingOrder="1"/>
    </xf>
    <xf numFmtId="168" fontId="5" fillId="28" borderId="1" xfId="1" applyNumberFormat="1" applyFont="1" applyFill="1" applyBorder="1" applyAlignment="1">
      <alignment horizontal="left" vertical="center" wrapText="1" readingOrder="1"/>
    </xf>
    <xf numFmtId="168" fontId="7" fillId="32" borderId="2" xfId="1" applyNumberFormat="1" applyFont="1" applyFill="1" applyBorder="1" applyAlignment="1">
      <alignment horizontal="center" vertical="center" wrapText="1" readingOrder="1"/>
    </xf>
    <xf numFmtId="168" fontId="35" fillId="4" borderId="1" xfId="1" applyNumberFormat="1" applyFont="1" applyFill="1" applyBorder="1" applyAlignment="1">
      <alignment horizontal="left" vertical="top" wrapText="1" readingOrder="1"/>
    </xf>
    <xf numFmtId="168" fontId="36" fillId="14" borderId="1" xfId="1" applyNumberFormat="1" applyFont="1" applyFill="1" applyBorder="1" applyAlignment="1">
      <alignment horizontal="left" vertical="center" wrapText="1" readingOrder="1"/>
    </xf>
    <xf numFmtId="0" fontId="37" fillId="0" borderId="0" xfId="0" applyFont="1" applyAlignment="1">
      <alignment wrapText="1" readingOrder="1"/>
    </xf>
    <xf numFmtId="168" fontId="38" fillId="0" borderId="24" xfId="1" applyNumberFormat="1" applyFont="1" applyBorder="1" applyAlignment="1">
      <alignment wrapText="1" readingOrder="1"/>
    </xf>
    <xf numFmtId="168" fontId="38" fillId="0" borderId="23" xfId="1" applyNumberFormat="1" applyFont="1" applyBorder="1" applyAlignment="1">
      <alignment wrapText="1" readingOrder="1"/>
    </xf>
    <xf numFmtId="0" fontId="10" fillId="0" borderId="0" xfId="0" applyFont="1" applyAlignment="1">
      <alignment wrapText="1" readingOrder="1"/>
    </xf>
    <xf numFmtId="0" fontId="29" fillId="0" borderId="0" xfId="0" applyFont="1" applyAlignment="1">
      <alignment horizontal="center" wrapText="1"/>
    </xf>
    <xf numFmtId="0" fontId="26" fillId="0" borderId="29" xfId="0" applyFont="1" applyBorder="1" applyAlignment="1">
      <alignment horizontal="center" wrapText="1"/>
    </xf>
    <xf numFmtId="0" fontId="26" fillId="0" borderId="30" xfId="0" applyFont="1" applyBorder="1" applyAlignment="1">
      <alignment horizont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8" fillId="0" borderId="0" xfId="0" quotePrefix="1" applyFont="1">
      <alignment wrapText="1"/>
    </xf>
    <xf numFmtId="0" fontId="28" fillId="20" borderId="0" xfId="0" applyFont="1" applyFill="1">
      <alignment wrapText="1"/>
    </xf>
    <xf numFmtId="168" fontId="28" fillId="20" borderId="6" xfId="1" applyNumberFormat="1" applyFont="1" applyFill="1" applyBorder="1" applyAlignment="1">
      <alignment wrapText="1"/>
    </xf>
    <xf numFmtId="0" fontId="28" fillId="0" borderId="0" xfId="0" applyFont="1" applyFill="1">
      <alignment wrapText="1"/>
    </xf>
    <xf numFmtId="168" fontId="28" fillId="0" borderId="0" xfId="1" applyNumberFormat="1" applyFont="1" applyFill="1" applyAlignment="1">
      <alignment wrapText="1"/>
    </xf>
  </cellXfs>
  <cellStyles count="6">
    <cellStyle name="Accent6" xfId="4" builtinId="49"/>
    <cellStyle name="Comma" xfId="5" builtinId="3"/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00"/>
      <color rgb="FFFF6600"/>
      <color rgb="FF4B70C1"/>
      <color rgb="FF33CCFF"/>
      <color rgb="FFFF33CC"/>
      <color rgb="FFFF65A3"/>
      <color rgb="FF009900"/>
      <color rgb="FFF1F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Spending by Budget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'DSO staff consolidated '!$A$805:$A$810</c:f>
            </c:multiLvlStrRef>
          </c:cat>
          <c:val>
            <c:numRef>
              <c:f>'DSO staff consolidated '!$B$805:$B$810</c:f>
            </c:numRef>
          </c:val>
          <c:extLst>
            <c:ext xmlns:c16="http://schemas.microsoft.com/office/drawing/2014/chart" uri="{C3380CC4-5D6E-409C-BE32-E72D297353CC}">
              <c16:uniqueId val="{00000000-EF76-4140-B2F8-ABEB65DF312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2025/2024 Budgets</a:t>
            </a:r>
            <a:r>
              <a:rPr lang="en-US" b="1" baseline="0"/>
              <a:t> by Ministry Area: DSO Staff Costs in Bishop's Office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Graphs!$C$36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Graphs!$B$37:$B$43</c:f>
              <c:strCache>
                <c:ptCount val="7"/>
                <c:pt idx="0">
                  <c:v>Procter Camp &amp; Church Foundation</c:v>
                </c:pt>
                <c:pt idx="1">
                  <c:v>Bishop's Office, DSO Staff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Graphs!$C$37:$C$43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3882887.0902</c:v>
                </c:pt>
                <c:pt idx="2">
                  <c:v>646282</c:v>
                </c:pt>
                <c:pt idx="3">
                  <c:v>459347.57874999999</c:v>
                </c:pt>
                <c:pt idx="4">
                  <c:v>345600</c:v>
                </c:pt>
                <c:pt idx="5">
                  <c:v>136960</c:v>
                </c:pt>
                <c:pt idx="6">
                  <c:v>69190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5-4E82-984E-13F85569EB34}"/>
            </c:ext>
          </c:extLst>
        </c:ser>
        <c:ser>
          <c:idx val="1"/>
          <c:order val="1"/>
          <c:tx>
            <c:strRef>
              <c:f>Graphs!$D$36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Graphs!$B$37:$B$43</c:f>
              <c:strCache>
                <c:ptCount val="7"/>
                <c:pt idx="0">
                  <c:v>Procter Camp &amp; Church Foundation</c:v>
                </c:pt>
                <c:pt idx="1">
                  <c:v>Bishop's Office, DSO Staff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Graphs!$D$37:$D$43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3802979</c:v>
                </c:pt>
                <c:pt idx="2">
                  <c:v>393379</c:v>
                </c:pt>
                <c:pt idx="3">
                  <c:v>386404</c:v>
                </c:pt>
                <c:pt idx="4">
                  <c:v>767650</c:v>
                </c:pt>
                <c:pt idx="5">
                  <c:v>199023</c:v>
                </c:pt>
                <c:pt idx="6">
                  <c:v>355325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5-4E82-984E-13F85569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8307472"/>
        <c:axId val="758314192"/>
      </c:barChart>
      <c:catAx>
        <c:axId val="7583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14192"/>
        <c:crosses val="autoZero"/>
        <c:auto val="1"/>
        <c:lblAlgn val="ctr"/>
        <c:lblOffset val="100"/>
        <c:noMultiLvlLbl val="0"/>
      </c:catAx>
      <c:valAx>
        <c:axId val="75831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Budget: DSO Staff Costs in Bishop's Office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E3-4F24-9671-C19B7AA1E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61E-45A7-8A4E-481AA5599F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1E-45A7-8A4E-481AA5599F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1E-45A7-8A4E-481AA5599F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1E-45A7-8A4E-481AA5599F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61E-45A7-8A4E-481AA5599F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53-4124-A451-48A466873A22}"/>
              </c:ext>
            </c:extLst>
          </c:dPt>
          <c:dLbls>
            <c:dLbl>
              <c:idx val="2"/>
              <c:layout>
                <c:manualLayout>
                  <c:x val="-1.2394866712658268E-2"/>
                  <c:y val="-2.90803244356699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E-45A7-8A4E-481AA5599F68}"/>
                </c:ext>
              </c:extLst>
            </c:dLbl>
            <c:dLbl>
              <c:idx val="3"/>
              <c:layout>
                <c:manualLayout>
                  <c:x val="2.8331123914647469E-2"/>
                  <c:y val="-1.7448194661402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1E-45A7-8A4E-481AA5599F68}"/>
                </c:ext>
              </c:extLst>
            </c:dLbl>
            <c:dLbl>
              <c:idx val="4"/>
              <c:layout>
                <c:manualLayout>
                  <c:x val="1.5936257201989136E-2"/>
                  <c:y val="-1.45401622178349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E-45A7-8A4E-481AA5599F68}"/>
                </c:ext>
              </c:extLst>
            </c:dLbl>
            <c:dLbl>
              <c:idx val="5"/>
              <c:layout>
                <c:manualLayout>
                  <c:x val="2.6560428669982004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1E-45A7-8A4E-481AA5599F68}"/>
                </c:ext>
              </c:extLst>
            </c:dLbl>
            <c:dLbl>
              <c:idx val="6"/>
              <c:layout>
                <c:manualLayout>
                  <c:x val="4.6038076361302138E-2"/>
                  <c:y val="4.07124542099379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53-4124-A451-48A466873A2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Graphs!$B$37:$B$43</c:f>
              <c:strCache>
                <c:ptCount val="7"/>
                <c:pt idx="0">
                  <c:v>Procter Camp &amp; Church Foundation</c:v>
                </c:pt>
                <c:pt idx="1">
                  <c:v>Bishop's Office, DSO Staff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Graphs!$C$37:$C$43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3882887.0902</c:v>
                </c:pt>
                <c:pt idx="2">
                  <c:v>646282</c:v>
                </c:pt>
                <c:pt idx="3">
                  <c:v>459347.57874999999</c:v>
                </c:pt>
                <c:pt idx="4">
                  <c:v>345600</c:v>
                </c:pt>
                <c:pt idx="5">
                  <c:v>136960</c:v>
                </c:pt>
                <c:pt idx="6">
                  <c:v>69190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5A7-8A4E-481AA5599F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75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2025/2024</a:t>
            </a:r>
            <a:r>
              <a:rPr lang="en-US" b="1" baseline="0"/>
              <a:t> Budgets by Ministry Area: Staff Allocated to Minnistry Areas 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29358418671899"/>
          <c:y val="0.11201209334820669"/>
          <c:w val="0.87595926234191523"/>
          <c:h val="0.6824961054976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Graphs!$C$54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Graphs!$B$55:$B$61</c:f>
              <c:strCache>
                <c:ptCount val="7"/>
                <c:pt idx="0">
                  <c:v>Procter Camp &amp; Church Foundation</c:v>
                </c:pt>
                <c:pt idx="1">
                  <c:v>Bishop's Office 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Graphs!$C$55:$C$61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2969521.1622000001</c:v>
                </c:pt>
                <c:pt idx="2">
                  <c:v>1334991.2659999998</c:v>
                </c:pt>
                <c:pt idx="3">
                  <c:v>459347.57874999999</c:v>
                </c:pt>
                <c:pt idx="4">
                  <c:v>345600</c:v>
                </c:pt>
                <c:pt idx="5">
                  <c:v>136960</c:v>
                </c:pt>
                <c:pt idx="6">
                  <c:v>293846.66200000001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0-445A-9D1B-4875DFF1A586}"/>
            </c:ext>
          </c:extLst>
        </c:ser>
        <c:ser>
          <c:idx val="1"/>
          <c:order val="1"/>
          <c:tx>
            <c:strRef>
              <c:f>Graphs!$D$54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Graphs!$B$55:$B$61</c:f>
              <c:strCache>
                <c:ptCount val="7"/>
                <c:pt idx="0">
                  <c:v>Procter Camp &amp; Church Foundation</c:v>
                </c:pt>
                <c:pt idx="1">
                  <c:v>Bishop's Office 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Graphs!$D$55:$D$61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3034876</c:v>
                </c:pt>
                <c:pt idx="2">
                  <c:v>925913</c:v>
                </c:pt>
                <c:pt idx="3">
                  <c:v>386404</c:v>
                </c:pt>
                <c:pt idx="4">
                  <c:v>767650</c:v>
                </c:pt>
                <c:pt idx="5">
                  <c:v>199023</c:v>
                </c:pt>
                <c:pt idx="6">
                  <c:v>590894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0-445A-9D1B-4875DFF1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293952"/>
        <c:axId val="933304512"/>
      </c:barChart>
      <c:catAx>
        <c:axId val="93329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304512"/>
        <c:crosses val="autoZero"/>
        <c:auto val="1"/>
        <c:lblAlgn val="ctr"/>
        <c:lblOffset val="100"/>
        <c:noMultiLvlLbl val="0"/>
      </c:catAx>
      <c:valAx>
        <c:axId val="9333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2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</a:t>
            </a:r>
            <a:r>
              <a:rPr lang="en-US" baseline="0"/>
              <a:t> Budget: DSO Staff Allocated to Ministry Areas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35-4BD0-A92E-4CFA6FEEAF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35-4BD0-A92E-4CFA6FEEAF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35-4BD0-A92E-4CFA6FEEAF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35-4BD0-A92E-4CFA6FEEAF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035-4BD0-A92E-4CFA6FEEAF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035-4BD0-A92E-4CFA6FEEAF6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F84-4D81-B87B-C004A160C7A5}"/>
              </c:ext>
            </c:extLst>
          </c:dPt>
          <c:dLbls>
            <c:dLbl>
              <c:idx val="0"/>
              <c:layout>
                <c:manualLayout>
                  <c:x val="3.4667050278960566E-3"/>
                  <c:y val="-2.24136149278205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5-4BD0-A92E-4CFA6FEEAF60}"/>
                </c:ext>
              </c:extLst>
            </c:dLbl>
            <c:dLbl>
              <c:idx val="1"/>
              <c:layout>
                <c:manualLayout>
                  <c:x val="6.9334100557921132E-3"/>
                  <c:y val="7.47120497594017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35-4BD0-A92E-4CFA6FEEAF60}"/>
                </c:ext>
              </c:extLst>
            </c:dLbl>
            <c:dLbl>
              <c:idx val="2"/>
              <c:layout>
                <c:manualLayout>
                  <c:x val="-1.9066877653428321E-2"/>
                  <c:y val="9.96160663458689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35-4BD0-A92E-4CFA6FEEAF60}"/>
                </c:ext>
              </c:extLst>
            </c:dLbl>
            <c:dLbl>
              <c:idx val="3"/>
              <c:layout>
                <c:manualLayout>
                  <c:x val="-1.7333525139480284E-2"/>
                  <c:y val="-4.980803317293447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35-4BD0-A92E-4CFA6FEEAF60}"/>
                </c:ext>
              </c:extLst>
            </c:dLbl>
            <c:dLbl>
              <c:idx val="4"/>
              <c:layout>
                <c:manualLayout>
                  <c:x val="-1.5600172625532255E-2"/>
                  <c:y val="-1.24520082932336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35-4BD0-A92E-4CFA6FEEAF60}"/>
                </c:ext>
              </c:extLst>
            </c:dLbl>
            <c:dLbl>
              <c:idx val="5"/>
              <c:layout>
                <c:manualLayout>
                  <c:x val="-6.9334100557921132E-3"/>
                  <c:y val="-1.49424099518803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35-4BD0-A92E-4CFA6FEEAF60}"/>
                </c:ext>
              </c:extLst>
            </c:dLbl>
            <c:dLbl>
              <c:idx val="6"/>
              <c:layout>
                <c:manualLayout>
                  <c:x val="1.646691712473123E-2"/>
                  <c:y val="2.4904016586467202E-3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57704670033828E-2"/>
                      <c:h val="5.2809065218913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3F84-4D81-B87B-C004A160C7A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Graphs!$B$55:$B$61</c:f>
              <c:strCache>
                <c:ptCount val="7"/>
                <c:pt idx="0">
                  <c:v>Procter Camp &amp; Church Foundation</c:v>
                </c:pt>
                <c:pt idx="1">
                  <c:v>Bishop's Office  &amp; 412</c:v>
                </c:pt>
                <c:pt idx="2">
                  <c:v>Formation</c:v>
                </c:pt>
                <c:pt idx="3">
                  <c:v>Ordained and Licensed Ministries</c:v>
                </c:pt>
                <c:pt idx="4">
                  <c:v>Outreach &amp; Ministry Support</c:v>
                </c:pt>
                <c:pt idx="5">
                  <c:v>Governance and TEC Membership</c:v>
                </c:pt>
                <c:pt idx="6">
                  <c:v>Transitions &amp; Congregational Ministries</c:v>
                </c:pt>
              </c:strCache>
            </c:strRef>
          </c:cat>
          <c:val>
            <c:numRef>
              <c:f>Graphs!$C$55:$C$61</c:f>
              <c:numCache>
                <c:formatCode>_("$"* #,##0_);_("$"* \(#,##0\);_("$"* "-"??_);_(@_)</c:formatCode>
                <c:ptCount val="7"/>
                <c:pt idx="0">
                  <c:v>700000</c:v>
                </c:pt>
                <c:pt idx="1">
                  <c:v>2969521.1622000001</c:v>
                </c:pt>
                <c:pt idx="2">
                  <c:v>1334991.2659999998</c:v>
                </c:pt>
                <c:pt idx="3">
                  <c:v>459347.57874999999</c:v>
                </c:pt>
                <c:pt idx="4">
                  <c:v>345600</c:v>
                </c:pt>
                <c:pt idx="5">
                  <c:v>136960</c:v>
                </c:pt>
                <c:pt idx="6">
                  <c:v>293846.66200000001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0-4F36-93BA-4045425E8D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2025/2024</a:t>
            </a:r>
            <a:r>
              <a:rPr lang="en-US" b="1" baseline="0"/>
              <a:t> Sources of Funds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Graphs!$B$7:$B$9</c:f>
              <c:strCache>
                <c:ptCount val="3"/>
                <c:pt idx="0">
                  <c:v>Convention</c:v>
                </c:pt>
                <c:pt idx="1">
                  <c:v>WCP</c:v>
                </c:pt>
                <c:pt idx="2">
                  <c:v>Other Funds</c:v>
                </c:pt>
              </c:strCache>
            </c:strRef>
          </c:cat>
          <c:val>
            <c:numRef>
              <c:f>Graphs!$C$7:$C$9</c:f>
              <c:numCache>
                <c:formatCode>_("$"* #,##0_);_("$"* \(#,##0\);_("$"* "-"??_);_(@_)</c:formatCode>
                <c:ptCount val="3"/>
                <c:pt idx="0">
                  <c:v>2918298</c:v>
                </c:pt>
                <c:pt idx="1">
                  <c:v>2547583</c:v>
                </c:pt>
                <c:pt idx="2">
                  <c:v>774386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7-4184-B02B-165850FC028C}"/>
            </c:ext>
          </c:extLst>
        </c:ser>
        <c:ser>
          <c:idx val="1"/>
          <c:order val="1"/>
          <c:tx>
            <c:strRef>
              <c:f>Graphs!$D$6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Graphs!$B$7:$B$9</c:f>
              <c:strCache>
                <c:ptCount val="3"/>
                <c:pt idx="0">
                  <c:v>Convention</c:v>
                </c:pt>
                <c:pt idx="1">
                  <c:v>WCP</c:v>
                </c:pt>
                <c:pt idx="2">
                  <c:v>Other Funds</c:v>
                </c:pt>
              </c:strCache>
            </c:strRef>
          </c:cat>
          <c:val>
            <c:numRef>
              <c:f>Graphs!$D$7:$D$9</c:f>
              <c:numCache>
                <c:formatCode>_("$"* #,##0_);_("$"* \(#,##0\);_("$"* "-"??_);_(@_)</c:formatCode>
                <c:ptCount val="3"/>
                <c:pt idx="0">
                  <c:v>3140175</c:v>
                </c:pt>
                <c:pt idx="1">
                  <c:v>2518034</c:v>
                </c:pt>
                <c:pt idx="2">
                  <c:v>946551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7-4184-B02B-165850FC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525312"/>
        <c:axId val="1142544992"/>
      </c:barChart>
      <c:catAx>
        <c:axId val="11425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544992"/>
        <c:crosses val="autoZero"/>
        <c:auto val="1"/>
        <c:lblAlgn val="ctr"/>
        <c:lblOffset val="100"/>
        <c:noMultiLvlLbl val="0"/>
      </c:catAx>
      <c:valAx>
        <c:axId val="114254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52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Sources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39370078740158"/>
          <c:y val="9.7106663750364544E-2"/>
          <c:w val="0.51118044619422576"/>
          <c:h val="0.851967410323709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8E-4CBA-8D4C-18A2D47319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8E-4CBA-8D4C-18A2D47319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8E-4CBA-8D4C-18A2D473191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Graphs!$B$7:$B$9</c:f>
              <c:strCache>
                <c:ptCount val="3"/>
                <c:pt idx="0">
                  <c:v>Convention</c:v>
                </c:pt>
                <c:pt idx="1">
                  <c:v>WCP</c:v>
                </c:pt>
                <c:pt idx="2">
                  <c:v>Other Funds</c:v>
                </c:pt>
              </c:strCache>
            </c:strRef>
          </c:cat>
          <c:val>
            <c:numRef>
              <c:f>Graphs!$C$7:$C$9</c:f>
              <c:numCache>
                <c:formatCode>_("$"* #,##0_);_("$"* \(#,##0\);_("$"* "-"??_);_(@_)</c:formatCode>
                <c:ptCount val="3"/>
                <c:pt idx="0">
                  <c:v>2918298</c:v>
                </c:pt>
                <c:pt idx="1">
                  <c:v>2547583</c:v>
                </c:pt>
                <c:pt idx="2">
                  <c:v>774386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ECD-AFBF-963F304827B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</a:t>
            </a:r>
            <a:r>
              <a:rPr lang="en-US" baseline="0"/>
              <a:t> Sources of Funds</a:t>
            </a:r>
            <a:endParaRPr lang="en-US"/>
          </a:p>
        </c:rich>
      </c:tx>
      <c:layout>
        <c:manualLayout>
          <c:xMode val="edge"/>
          <c:yMode val="edge"/>
          <c:x val="0.28070559610705598"/>
          <c:y val="3.71846694237403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618445504530914"/>
          <c:y val="0.13900760921205321"/>
          <c:w val="0.47718987681284375"/>
          <c:h val="0.77596454745827415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63-4B36-BE30-C5A7BC29EE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963-4B36-BE30-C5A7BC29EE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E1C-4A14-A2F3-B51BFBE9190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Graphs!$B$7:$B$9</c:f>
              <c:strCache>
                <c:ptCount val="3"/>
                <c:pt idx="0">
                  <c:v>Convention</c:v>
                </c:pt>
                <c:pt idx="1">
                  <c:v>WCP</c:v>
                </c:pt>
                <c:pt idx="2">
                  <c:v>Other Funds</c:v>
                </c:pt>
              </c:strCache>
            </c:strRef>
          </c:cat>
          <c:val>
            <c:numRef>
              <c:f>Graphs!$D$7:$D$9</c:f>
              <c:numCache>
                <c:formatCode>_("$"* #,##0_);_("$"* \(#,##0\);_("$"* "-"??_);_(@_)</c:formatCode>
                <c:ptCount val="3"/>
                <c:pt idx="0">
                  <c:v>3140175</c:v>
                </c:pt>
                <c:pt idx="1">
                  <c:v>2518034</c:v>
                </c:pt>
                <c:pt idx="2">
                  <c:v>946551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3-4B36-BE30-C5A7BC29EEF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21</xdr:col>
      <xdr:colOff>0</xdr:colOff>
      <xdr:row>57</xdr:row>
      <xdr:rowOff>47520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6B5D8-B478-48D8-BCE3-42FC7CE1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05950"/>
          <a:ext cx="8086725" cy="475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494109</xdr:colOff>
      <xdr:row>1</xdr:row>
      <xdr:rowOff>35739</xdr:rowOff>
    </xdr:from>
    <xdr:to>
      <xdr:col>0</xdr:col>
      <xdr:colOff>2058799</xdr:colOff>
      <xdr:row>1</xdr:row>
      <xdr:rowOff>548851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D743A3-F64D-4F01-9D73-E86CF0DA1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9" y="35739"/>
          <a:ext cx="1554480" cy="506762"/>
        </a:xfrm>
        <a:prstGeom prst="rect">
          <a:avLst/>
        </a:prstGeom>
      </xdr:spPr>
    </xdr:pic>
    <xdr:clientData/>
  </xdr:twoCellAnchor>
  <xdr:twoCellAnchor>
    <xdr:from>
      <xdr:col>4</xdr:col>
      <xdr:colOff>565547</xdr:colOff>
      <xdr:row>803</xdr:row>
      <xdr:rowOff>74414</xdr:rowOff>
    </xdr:from>
    <xdr:to>
      <xdr:col>6</xdr:col>
      <xdr:colOff>870645</xdr:colOff>
      <xdr:row>809</xdr:row>
      <xdr:rowOff>14882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BD437B-5F23-66EA-B393-06D664640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30</xdr:row>
      <xdr:rowOff>61911</xdr:rowOff>
    </xdr:from>
    <xdr:to>
      <xdr:col>10</xdr:col>
      <xdr:colOff>676275</xdr:colOff>
      <xdr:row>49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11F40B-D8CF-CA05-8CF2-C429DEF8F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1057276</xdr:colOff>
      <xdr:row>51</xdr:row>
      <xdr:rowOff>4761</xdr:rowOff>
    </xdr:from>
    <xdr:to>
      <xdr:col>10</xdr:col>
      <xdr:colOff>1037166</xdr:colOff>
      <xdr:row>74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24AC8E-89E7-71A5-F91A-1B15A9EEC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714374</xdr:colOff>
      <xdr:row>29</xdr:row>
      <xdr:rowOff>152400</xdr:rowOff>
    </xdr:from>
    <xdr:to>
      <xdr:col>19</xdr:col>
      <xdr:colOff>542925</xdr:colOff>
      <xdr:row>49</xdr:row>
      <xdr:rowOff>52387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6ED573-9F4E-9F5C-7CEC-EFDB1FD1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638174</xdr:colOff>
      <xdr:row>50</xdr:row>
      <xdr:rowOff>180975</xdr:rowOff>
    </xdr:from>
    <xdr:to>
      <xdr:col>19</xdr:col>
      <xdr:colOff>514349</xdr:colOff>
      <xdr:row>74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03DBF9A-8CF1-92A8-5314-7868F1C0D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809625</xdr:colOff>
      <xdr:row>3</xdr:row>
      <xdr:rowOff>119061</xdr:rowOff>
    </xdr:from>
    <xdr:to>
      <xdr:col>8</xdr:col>
      <xdr:colOff>895350</xdr:colOff>
      <xdr:row>21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2CCF80-1092-B51C-6E56-5DDE75516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1181099</xdr:colOff>
      <xdr:row>4</xdr:row>
      <xdr:rowOff>14286</xdr:rowOff>
    </xdr:from>
    <xdr:to>
      <xdr:col>13</xdr:col>
      <xdr:colOff>133349</xdr:colOff>
      <xdr:row>21</xdr:row>
      <xdr:rowOff>57149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CDE719-73DD-B008-1C7D-61106412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209550</xdr:colOff>
      <xdr:row>3</xdr:row>
      <xdr:rowOff>152400</xdr:rowOff>
    </xdr:from>
    <xdr:to>
      <xdr:col>21</xdr:col>
      <xdr:colOff>552450</xdr:colOff>
      <xdr:row>20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B37B3EB-3BD0-4843-BF31-A2AE395A0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5A46-C710-49A4-A6CA-B13146FDC705}">
  <sheetPr>
    <pageSetUpPr fitToPage="1"/>
  </sheetPr>
  <dimension ref="A1:Z860"/>
  <sheetViews>
    <sheetView showGridLines="0" zoomScale="110" zoomScaleNormal="110" workbookViewId="0">
      <pane ySplit="2" topLeftCell="A625" activePane="bottomLeft" state="frozen"/>
      <selection pane="bottomLeft" activeCell="A645" sqref="A645"/>
    </sheetView>
  </sheetViews>
  <sheetFormatPr defaultColWidth="9.140625" defaultRowHeight="15" customHeight="1" x14ac:dyDescent="0.25"/>
  <cols>
    <col min="1" max="1" width="49.7109375" style="3" customWidth="1"/>
    <col min="2" max="2" width="5.5703125" style="3" customWidth="1"/>
    <col min="3" max="3" width="1.85546875" style="3" customWidth="1"/>
    <col min="4" max="4" width="16.140625" style="175" bestFit="1" customWidth="1"/>
    <col min="5" max="5" width="15.7109375" style="175" bestFit="1" customWidth="1"/>
    <col min="6" max="6" width="14" style="175" bestFit="1" customWidth="1"/>
    <col min="7" max="7" width="19.7109375" style="175" bestFit="1" customWidth="1"/>
    <col min="8" max="8" width="9.85546875" style="223" hidden="1" customWidth="1"/>
    <col min="9" max="9" width="12.7109375" style="231" customWidth="1"/>
    <col min="10" max="10" width="1.85546875" style="231" customWidth="1"/>
    <col min="11" max="11" width="14.5703125" style="231" bestFit="1" customWidth="1"/>
    <col min="12" max="12" width="1.7109375" style="231" customWidth="1"/>
    <col min="13" max="13" width="16.42578125" style="22" hidden="1" customWidth="1"/>
    <col min="14" max="14" width="14.28515625" style="22" hidden="1" customWidth="1"/>
    <col min="15" max="15" width="13.5703125" style="22" hidden="1" customWidth="1"/>
    <col min="16" max="16" width="16.140625" style="3" customWidth="1"/>
    <col min="17" max="17" width="9.42578125" style="3" hidden="1" customWidth="1"/>
    <col min="18" max="18" width="10.7109375" style="50" hidden="1" customWidth="1"/>
    <col min="19" max="19" width="13.140625" style="3" hidden="1" customWidth="1"/>
    <col min="20" max="20" width="15.42578125" style="3" hidden="1" customWidth="1"/>
    <col min="21" max="21" width="17.140625" style="3" hidden="1" customWidth="1"/>
    <col min="22" max="22" width="11.28515625" style="3" hidden="1" customWidth="1"/>
    <col min="23" max="23" width="157" style="3" hidden="1" customWidth="1"/>
    <col min="24" max="24" width="9.140625" style="3" customWidth="1"/>
    <col min="25" max="25" width="18.140625" style="3" customWidth="1"/>
    <col min="26" max="26" width="12.140625" style="3" customWidth="1"/>
    <col min="27" max="28" width="12.140625" style="3" bestFit="1" customWidth="1"/>
    <col min="29" max="16384" width="9.140625" style="3"/>
  </cols>
  <sheetData>
    <row r="1" spans="1:25" ht="24" customHeight="1" thickBot="1" x14ac:dyDescent="0.35">
      <c r="A1" s="718"/>
      <c r="D1" s="422"/>
    </row>
    <row r="2" spans="1:25" ht="52.5" customHeight="1" x14ac:dyDescent="0.25">
      <c r="A2" s="158"/>
      <c r="B2" s="684"/>
      <c r="C2" s="684"/>
      <c r="D2" s="685" t="s">
        <v>399</v>
      </c>
      <c r="E2" s="163" t="s">
        <v>397</v>
      </c>
      <c r="F2" s="163" t="s">
        <v>401</v>
      </c>
      <c r="G2" s="193" t="s">
        <v>400</v>
      </c>
      <c r="H2" s="163" t="s">
        <v>402</v>
      </c>
      <c r="I2" s="193" t="s">
        <v>490</v>
      </c>
      <c r="J2" s="193"/>
      <c r="K2" s="363" t="s">
        <v>524</v>
      </c>
      <c r="L2" s="318"/>
      <c r="M2" s="297" t="s">
        <v>0</v>
      </c>
      <c r="N2" s="159" t="s">
        <v>1</v>
      </c>
      <c r="O2" s="159" t="s">
        <v>2</v>
      </c>
      <c r="P2" s="159" t="s">
        <v>3</v>
      </c>
      <c r="Q2" s="160" t="s">
        <v>4</v>
      </c>
      <c r="R2" s="161" t="s">
        <v>5</v>
      </c>
      <c r="S2" s="162" t="s">
        <v>6</v>
      </c>
      <c r="T2" s="2" t="s">
        <v>7</v>
      </c>
      <c r="U2" s="2" t="s">
        <v>8</v>
      </c>
      <c r="W2" s="339" t="s">
        <v>551</v>
      </c>
    </row>
    <row r="3" spans="1:25" s="593" customFormat="1" ht="30" customHeight="1" x14ac:dyDescent="0.25">
      <c r="A3" s="692" t="s">
        <v>547</v>
      </c>
      <c r="B3" s="693"/>
      <c r="C3" s="693"/>
      <c r="D3" s="694"/>
      <c r="E3" s="694"/>
      <c r="F3" s="694"/>
      <c r="G3" s="694"/>
      <c r="H3" s="695"/>
      <c r="I3" s="696"/>
      <c r="J3" s="696"/>
      <c r="K3" s="696"/>
      <c r="L3" s="697"/>
      <c r="M3" s="698"/>
      <c r="N3" s="698"/>
      <c r="O3" s="698"/>
      <c r="P3" s="699"/>
      <c r="Q3" s="700"/>
      <c r="R3" s="701"/>
      <c r="S3" s="702"/>
      <c r="T3" s="703"/>
      <c r="U3" s="703"/>
      <c r="W3" s="704"/>
    </row>
    <row r="4" spans="1:25" ht="14.45" customHeight="1" x14ac:dyDescent="0.25">
      <c r="A4" s="148" t="s">
        <v>451</v>
      </c>
      <c r="B4" s="686"/>
      <c r="C4" s="686"/>
      <c r="D4" s="687">
        <f>2438286</f>
        <v>2438286</v>
      </c>
      <c r="E4" s="164"/>
      <c r="F4" s="164"/>
      <c r="G4" s="194">
        <f>+F4+E4+D4</f>
        <v>2438286</v>
      </c>
      <c r="H4" s="217">
        <f>+G4/G$49</f>
        <v>0.39073424262134937</v>
      </c>
      <c r="I4" s="217">
        <f>+G4/G$49</f>
        <v>0.39073424262134937</v>
      </c>
      <c r="J4" s="217"/>
      <c r="K4" s="164">
        <f>+G4-P4</f>
        <v>-315091</v>
      </c>
      <c r="L4" s="386"/>
      <c r="M4" s="203">
        <v>2753377</v>
      </c>
      <c r="N4" s="204"/>
      <c r="O4" s="8"/>
      <c r="P4" s="9">
        <f>M4+N4+O4</f>
        <v>2753377</v>
      </c>
      <c r="Q4" s="10">
        <f>P4/P49</f>
        <v>0.4168776761002671</v>
      </c>
      <c r="R4" s="11"/>
      <c r="S4" s="12">
        <v>2470489</v>
      </c>
      <c r="T4" s="12">
        <v>2601950</v>
      </c>
      <c r="U4" s="12">
        <v>2825585.55</v>
      </c>
      <c r="W4" s="384" t="s">
        <v>452</v>
      </c>
    </row>
    <row r="5" spans="1:25" ht="14.45" customHeight="1" x14ac:dyDescent="0.25">
      <c r="A5" s="7" t="s">
        <v>9</v>
      </c>
      <c r="B5" s="148"/>
      <c r="C5" s="148"/>
      <c r="D5" s="254"/>
      <c r="E5" s="164"/>
      <c r="F5" s="164"/>
      <c r="G5" s="194">
        <f t="shared" ref="G5:G48" si="0">+F5+E5+D5</f>
        <v>0</v>
      </c>
      <c r="H5" s="217">
        <f>+G5/G$49</f>
        <v>0</v>
      </c>
      <c r="I5" s="217"/>
      <c r="J5" s="217"/>
      <c r="K5" s="164">
        <f t="shared" ref="K5:K48" si="1">+G5-P5</f>
        <v>0</v>
      </c>
      <c r="L5" s="386"/>
      <c r="M5" s="203"/>
      <c r="N5" s="204"/>
      <c r="O5" s="8"/>
      <c r="P5" s="9">
        <f t="shared" ref="P5:P48" si="2">M5+N5+O5</f>
        <v>0</v>
      </c>
      <c r="Q5" s="10">
        <f>P5/P49</f>
        <v>0</v>
      </c>
      <c r="R5" s="11"/>
      <c r="S5" s="12">
        <v>-98820</v>
      </c>
      <c r="T5" s="12">
        <v>-104078</v>
      </c>
      <c r="U5" s="12">
        <v>-70221.039999999994</v>
      </c>
    </row>
    <row r="6" spans="1:25" ht="14.45" hidden="1" customHeight="1" x14ac:dyDescent="0.25">
      <c r="A6" s="7" t="s">
        <v>10</v>
      </c>
      <c r="B6" s="148"/>
      <c r="C6" s="148"/>
      <c r="D6" s="164"/>
      <c r="E6" s="164"/>
      <c r="F6" s="164"/>
      <c r="G6" s="194">
        <f t="shared" si="0"/>
        <v>0</v>
      </c>
      <c r="H6" s="217">
        <f>+G6/G$49</f>
        <v>0</v>
      </c>
      <c r="I6" s="217"/>
      <c r="J6" s="217"/>
      <c r="K6" s="164">
        <f t="shared" si="1"/>
        <v>0</v>
      </c>
      <c r="L6" s="386"/>
      <c r="M6" s="203"/>
      <c r="N6" s="204"/>
      <c r="O6" s="8"/>
      <c r="P6" s="9">
        <f t="shared" si="2"/>
        <v>0</v>
      </c>
      <c r="Q6" s="9"/>
      <c r="R6" s="9"/>
      <c r="S6" s="12">
        <v>0</v>
      </c>
      <c r="T6" s="12">
        <v>-104078</v>
      </c>
      <c r="U6" s="12">
        <v>-13673.74</v>
      </c>
    </row>
    <row r="7" spans="1:25" ht="14.45" customHeight="1" x14ac:dyDescent="0.25">
      <c r="A7" s="7" t="s">
        <v>546</v>
      </c>
      <c r="B7" s="148"/>
      <c r="C7" s="148"/>
      <c r="D7" s="164">
        <v>0</v>
      </c>
      <c r="E7" s="164"/>
      <c r="F7" s="427">
        <v>2535</v>
      </c>
      <c r="G7" s="194">
        <f t="shared" si="0"/>
        <v>2535</v>
      </c>
      <c r="H7" s="217">
        <f>+G7/G$49</f>
        <v>4.0623261793125198E-4</v>
      </c>
      <c r="I7" s="217">
        <f>+G7/G$49</f>
        <v>4.0623261793125198E-4</v>
      </c>
      <c r="J7" s="217"/>
      <c r="K7" s="164">
        <f t="shared" si="1"/>
        <v>35</v>
      </c>
      <c r="L7" s="386"/>
      <c r="M7" s="203">
        <v>2500</v>
      </c>
      <c r="N7" s="204"/>
      <c r="O7" s="8"/>
      <c r="P7" s="9">
        <f t="shared" si="2"/>
        <v>2500</v>
      </c>
      <c r="Q7" s="10">
        <f>P7/P49</f>
        <v>3.7851488926168397E-4</v>
      </c>
      <c r="R7" s="11"/>
      <c r="S7" s="12">
        <v>2500</v>
      </c>
      <c r="T7" s="12">
        <v>2500</v>
      </c>
      <c r="U7" s="12">
        <v>5897.79</v>
      </c>
      <c r="V7" s="389"/>
      <c r="W7" s="496"/>
    </row>
    <row r="8" spans="1:25" ht="14.45" customHeight="1" x14ac:dyDescent="0.25">
      <c r="A8" s="7" t="s">
        <v>478</v>
      </c>
      <c r="B8" s="148"/>
      <c r="C8" s="148"/>
      <c r="D8" s="164"/>
      <c r="E8" s="164"/>
      <c r="F8" s="254"/>
      <c r="G8" s="194"/>
      <c r="H8" s="217"/>
      <c r="I8" s="217"/>
      <c r="J8" s="217"/>
      <c r="K8" s="164">
        <f t="shared" si="1"/>
        <v>0</v>
      </c>
      <c r="L8" s="386"/>
      <c r="M8" s="203"/>
      <c r="N8" s="204"/>
      <c r="O8" s="8"/>
      <c r="P8" s="9"/>
      <c r="Q8" s="10"/>
      <c r="R8" s="11"/>
      <c r="S8" s="12"/>
      <c r="T8" s="12"/>
      <c r="U8" s="12"/>
      <c r="W8" s="340"/>
    </row>
    <row r="9" spans="1:25" ht="14.45" customHeight="1" x14ac:dyDescent="0.25">
      <c r="A9" s="7" t="s">
        <v>398</v>
      </c>
      <c r="B9" s="148"/>
      <c r="C9" s="148"/>
      <c r="D9" s="164"/>
      <c r="E9" s="164">
        <f>2547583-200000</f>
        <v>2347583</v>
      </c>
      <c r="F9" s="164"/>
      <c r="G9" s="194">
        <f t="shared" si="0"/>
        <v>2347583</v>
      </c>
      <c r="H9" s="217">
        <f t="shared" ref="H9:H48" si="3">+G9/G$49</f>
        <v>0.37619912737708178</v>
      </c>
      <c r="I9" s="217">
        <f t="shared" ref="I9:I15" si="4">+G9/G$49</f>
        <v>0.37619912737708178</v>
      </c>
      <c r="J9" s="217"/>
      <c r="K9" s="164">
        <f t="shared" si="1"/>
        <v>29549</v>
      </c>
      <c r="L9" s="386"/>
      <c r="M9" s="203"/>
      <c r="N9" s="203">
        <v>2318034</v>
      </c>
      <c r="O9" s="8"/>
      <c r="P9" s="9">
        <f t="shared" si="2"/>
        <v>2318034</v>
      </c>
      <c r="Q9" s="10">
        <f>P9/P49</f>
        <v>0.35096415312592738</v>
      </c>
      <c r="R9" s="11"/>
      <c r="S9" s="12">
        <v>2539559</v>
      </c>
      <c r="T9" s="12">
        <v>2516684.4</v>
      </c>
      <c r="U9" s="12">
        <v>2516684.42</v>
      </c>
    </row>
    <row r="10" spans="1:25" ht="14.45" customHeight="1" x14ac:dyDescent="0.25">
      <c r="A10" s="7" t="s">
        <v>11</v>
      </c>
      <c r="B10" s="148"/>
      <c r="C10" s="148"/>
      <c r="D10" s="165">
        <v>272557</v>
      </c>
      <c r="E10" s="164"/>
      <c r="F10" s="165"/>
      <c r="G10" s="194">
        <f t="shared" si="0"/>
        <v>272557</v>
      </c>
      <c r="H10" s="217">
        <f t="shared" si="3"/>
        <v>4.3677137532736977E-2</v>
      </c>
      <c r="I10" s="217">
        <f t="shared" si="4"/>
        <v>4.3677137532736977E-2</v>
      </c>
      <c r="J10" s="217"/>
      <c r="K10" s="164">
        <f t="shared" si="1"/>
        <v>18759</v>
      </c>
      <c r="L10" s="387"/>
      <c r="M10" s="298">
        <v>253798</v>
      </c>
      <c r="N10" s="204"/>
      <c r="O10" s="8"/>
      <c r="P10" s="9">
        <f t="shared" si="2"/>
        <v>253798</v>
      </c>
      <c r="Q10" s="10">
        <f>P10/P49</f>
        <v>3.8426528745934753E-2</v>
      </c>
      <c r="R10" s="11"/>
      <c r="S10" s="12">
        <v>289556</v>
      </c>
      <c r="T10" s="12">
        <v>269703</v>
      </c>
      <c r="U10" s="12">
        <v>269702.99</v>
      </c>
      <c r="Y10" s="389"/>
    </row>
    <row r="11" spans="1:25" ht="15" customHeight="1" x14ac:dyDescent="0.25">
      <c r="A11" s="148" t="s">
        <v>12</v>
      </c>
      <c r="B11" s="148"/>
      <c r="C11" s="148"/>
      <c r="D11" s="164"/>
      <c r="E11" s="164"/>
      <c r="F11" s="433">
        <f>31280-9400</f>
        <v>21880</v>
      </c>
      <c r="G11" s="194">
        <f t="shared" si="0"/>
        <v>21880</v>
      </c>
      <c r="H11" s="217">
        <f t="shared" si="3"/>
        <v>3.5062602289293071E-3</v>
      </c>
      <c r="I11" s="217">
        <f t="shared" si="4"/>
        <v>3.5062602289293071E-3</v>
      </c>
      <c r="J11" s="217"/>
      <c r="K11" s="164">
        <f t="shared" si="1"/>
        <v>16880</v>
      </c>
      <c r="L11" s="386"/>
      <c r="M11" s="203">
        <v>5000</v>
      </c>
      <c r="N11" s="204"/>
      <c r="O11" s="8"/>
      <c r="P11" s="9">
        <f t="shared" si="2"/>
        <v>5000</v>
      </c>
      <c r="Q11" s="10">
        <f>P11/P49</f>
        <v>7.5702977852336794E-4</v>
      </c>
      <c r="R11" s="11"/>
      <c r="S11" s="12">
        <v>4500</v>
      </c>
      <c r="T11" s="12">
        <v>9000</v>
      </c>
      <c r="U11" s="12">
        <v>3718.41</v>
      </c>
      <c r="W11" s="343" t="s">
        <v>448</v>
      </c>
    </row>
    <row r="12" spans="1:25" ht="27.75" customHeight="1" x14ac:dyDescent="0.25">
      <c r="A12" s="148" t="s">
        <v>13</v>
      </c>
      <c r="B12" s="148"/>
      <c r="C12" s="148"/>
      <c r="D12" s="164"/>
      <c r="E12" s="164"/>
      <c r="F12" s="356">
        <v>354460</v>
      </c>
      <c r="G12" s="194">
        <f t="shared" si="0"/>
        <v>354460</v>
      </c>
      <c r="H12" s="217">
        <f t="shared" si="3"/>
        <v>5.680205670686847E-2</v>
      </c>
      <c r="I12" s="217">
        <f t="shared" si="4"/>
        <v>5.680205670686847E-2</v>
      </c>
      <c r="J12" s="217"/>
      <c r="K12" s="164">
        <f t="shared" si="1"/>
        <v>123979</v>
      </c>
      <c r="L12" s="386"/>
      <c r="M12" s="203"/>
      <c r="N12" s="204"/>
      <c r="O12" s="16">
        <v>230481</v>
      </c>
      <c r="P12" s="9">
        <f t="shared" si="2"/>
        <v>230481</v>
      </c>
      <c r="Q12" s="10">
        <f>P12/P49</f>
        <v>3.4896196076768873E-2</v>
      </c>
      <c r="R12" s="11"/>
      <c r="S12" s="12">
        <v>212180</v>
      </c>
      <c r="T12" s="12">
        <v>206000</v>
      </c>
      <c r="U12" s="12">
        <v>206000</v>
      </c>
      <c r="W12" s="343" t="s">
        <v>509</v>
      </c>
    </row>
    <row r="13" spans="1:25" ht="14.45" customHeight="1" x14ac:dyDescent="0.25">
      <c r="A13" s="7" t="s">
        <v>14</v>
      </c>
      <c r="B13" s="148"/>
      <c r="C13" s="148"/>
      <c r="D13" s="164"/>
      <c r="E13" s="164"/>
      <c r="F13" s="356">
        <v>9000</v>
      </c>
      <c r="G13" s="194">
        <f t="shared" si="0"/>
        <v>9000</v>
      </c>
      <c r="H13" s="217">
        <f t="shared" si="3"/>
        <v>1.4422459808210129E-3</v>
      </c>
      <c r="I13" s="217">
        <f t="shared" si="4"/>
        <v>1.4422459808210129E-3</v>
      </c>
      <c r="J13" s="217"/>
      <c r="K13" s="164">
        <f t="shared" si="1"/>
        <v>0</v>
      </c>
      <c r="L13" s="386"/>
      <c r="M13" s="203"/>
      <c r="N13" s="204"/>
      <c r="O13" s="16">
        <v>9000</v>
      </c>
      <c r="P13" s="9">
        <f t="shared" si="2"/>
        <v>9000</v>
      </c>
      <c r="Q13" s="10">
        <f>P13/P49</f>
        <v>1.3626536013420624E-3</v>
      </c>
      <c r="R13" s="11"/>
      <c r="S13" s="12">
        <v>8500</v>
      </c>
      <c r="T13" s="12">
        <v>8500</v>
      </c>
      <c r="U13" s="12">
        <v>8509.15</v>
      </c>
      <c r="W13" s="343" t="s">
        <v>403</v>
      </c>
    </row>
    <row r="14" spans="1:25" ht="14.45" customHeight="1" x14ac:dyDescent="0.25">
      <c r="A14" s="7" t="s">
        <v>15</v>
      </c>
      <c r="B14" s="148"/>
      <c r="C14" s="148"/>
      <c r="D14" s="164">
        <v>5000</v>
      </c>
      <c r="E14" s="164"/>
      <c r="F14" s="164"/>
      <c r="G14" s="194">
        <f t="shared" si="0"/>
        <v>5000</v>
      </c>
      <c r="H14" s="217">
        <f t="shared" si="3"/>
        <v>8.0124776712278494E-4</v>
      </c>
      <c r="I14" s="217">
        <f t="shared" si="4"/>
        <v>8.0124776712278494E-4</v>
      </c>
      <c r="J14" s="217"/>
      <c r="K14" s="164">
        <f t="shared" si="1"/>
        <v>2500</v>
      </c>
      <c r="L14" s="386"/>
      <c r="M14" s="203">
        <v>2500</v>
      </c>
      <c r="N14" s="204"/>
      <c r="O14" s="8"/>
      <c r="P14" s="9">
        <f t="shared" si="2"/>
        <v>2500</v>
      </c>
      <c r="Q14" s="10">
        <f>P14/P49</f>
        <v>3.7851488926168397E-4</v>
      </c>
      <c r="R14" s="11"/>
      <c r="S14" s="12">
        <v>2500</v>
      </c>
      <c r="T14" s="12">
        <v>2000</v>
      </c>
      <c r="U14" s="12">
        <v>9752.2099999999991</v>
      </c>
      <c r="W14" s="343"/>
    </row>
    <row r="15" spans="1:25" ht="14.45" customHeight="1" x14ac:dyDescent="0.25">
      <c r="A15" s="7" t="s">
        <v>16</v>
      </c>
      <c r="B15" s="148"/>
      <c r="C15" s="148"/>
      <c r="D15" s="164">
        <f>0.04*4200000-3945</f>
        <v>164055</v>
      </c>
      <c r="E15" s="164"/>
      <c r="F15" s="164"/>
      <c r="G15" s="194">
        <f t="shared" si="0"/>
        <v>164055</v>
      </c>
      <c r="H15" s="217">
        <f t="shared" si="3"/>
        <v>2.6289740487065699E-2</v>
      </c>
      <c r="I15" s="217">
        <f t="shared" si="4"/>
        <v>2.6289740487065699E-2</v>
      </c>
      <c r="J15" s="217"/>
      <c r="K15" s="164">
        <f t="shared" si="1"/>
        <v>68055</v>
      </c>
      <c r="L15" s="386"/>
      <c r="M15" s="203">
        <v>96000</v>
      </c>
      <c r="N15" s="204"/>
      <c r="O15" s="8"/>
      <c r="P15" s="9">
        <f t="shared" si="2"/>
        <v>96000</v>
      </c>
      <c r="Q15" s="10">
        <f>P15/P49</f>
        <v>1.4534971747648666E-2</v>
      </c>
      <c r="R15" s="11"/>
      <c r="S15" s="12">
        <v>1500</v>
      </c>
      <c r="T15" s="12">
        <v>1500</v>
      </c>
      <c r="U15" s="12">
        <v>18105.689999999999</v>
      </c>
      <c r="V15" s="292"/>
      <c r="W15" s="343" t="s">
        <v>517</v>
      </c>
    </row>
    <row r="16" spans="1:25" ht="14.45" hidden="1" customHeight="1" x14ac:dyDescent="0.25">
      <c r="A16" s="7" t="s">
        <v>17</v>
      </c>
      <c r="B16" s="148"/>
      <c r="C16" s="148"/>
      <c r="D16" s="164"/>
      <c r="E16" s="164"/>
      <c r="F16" s="164"/>
      <c r="G16" s="194">
        <f t="shared" si="0"/>
        <v>0</v>
      </c>
      <c r="H16" s="217">
        <f t="shared" si="3"/>
        <v>0</v>
      </c>
      <c r="I16" s="217"/>
      <c r="J16" s="217"/>
      <c r="K16" s="164">
        <f t="shared" si="1"/>
        <v>0</v>
      </c>
      <c r="L16" s="386"/>
      <c r="M16" s="203">
        <v>0</v>
      </c>
      <c r="N16" s="204"/>
      <c r="O16" s="8"/>
      <c r="P16" s="9">
        <f t="shared" si="2"/>
        <v>0</v>
      </c>
      <c r="Q16" s="14">
        <f>P16/P60</f>
        <v>0</v>
      </c>
      <c r="R16" s="11"/>
      <c r="S16" s="12">
        <v>0</v>
      </c>
      <c r="T16" s="12">
        <v>1500</v>
      </c>
      <c r="U16" s="12">
        <v>347.34</v>
      </c>
    </row>
    <row r="17" spans="1:24" ht="14.45" hidden="1" customHeight="1" x14ac:dyDescent="0.25">
      <c r="A17" s="7" t="s">
        <v>18</v>
      </c>
      <c r="B17" s="148"/>
      <c r="C17" s="148"/>
      <c r="D17" s="164"/>
      <c r="E17" s="164"/>
      <c r="F17" s="164"/>
      <c r="G17" s="194">
        <f t="shared" si="0"/>
        <v>0</v>
      </c>
      <c r="H17" s="217">
        <f t="shared" si="3"/>
        <v>0</v>
      </c>
      <c r="I17" s="217"/>
      <c r="J17" s="217"/>
      <c r="K17" s="164">
        <f t="shared" si="1"/>
        <v>0</v>
      </c>
      <c r="L17" s="386"/>
      <c r="M17" s="203">
        <v>0</v>
      </c>
      <c r="N17" s="204"/>
      <c r="O17" s="8"/>
      <c r="P17" s="9">
        <f t="shared" si="2"/>
        <v>0</v>
      </c>
      <c r="Q17" s="14">
        <f>P17/P61</f>
        <v>0</v>
      </c>
      <c r="R17" s="11"/>
      <c r="S17" s="12">
        <v>0</v>
      </c>
      <c r="T17" s="12">
        <v>0</v>
      </c>
      <c r="U17" s="12">
        <v>12310.64</v>
      </c>
    </row>
    <row r="18" spans="1:24" ht="14.45" customHeight="1" x14ac:dyDescent="0.25">
      <c r="A18" s="7" t="s">
        <v>19</v>
      </c>
      <c r="B18" s="148"/>
      <c r="C18" s="148"/>
      <c r="D18" s="164"/>
      <c r="E18" s="164">
        <v>200000</v>
      </c>
      <c r="F18" s="164"/>
      <c r="G18" s="194">
        <f t="shared" si="0"/>
        <v>200000</v>
      </c>
      <c r="H18" s="217">
        <f t="shared" si="3"/>
        <v>3.2049910684911399E-2</v>
      </c>
      <c r="I18" s="217">
        <f>+G18/G$49</f>
        <v>3.2049910684911399E-2</v>
      </c>
      <c r="J18" s="217"/>
      <c r="K18" s="164">
        <f t="shared" si="1"/>
        <v>0</v>
      </c>
      <c r="L18" s="386"/>
      <c r="M18" s="203"/>
      <c r="N18" s="203">
        <v>200000</v>
      </c>
      <c r="O18" s="8"/>
      <c r="P18" s="9">
        <f t="shared" si="2"/>
        <v>200000</v>
      </c>
      <c r="Q18" s="10">
        <f>P18/P49</f>
        <v>3.0281191140934721E-2</v>
      </c>
      <c r="R18" s="11"/>
      <c r="S18" s="12">
        <v>200000</v>
      </c>
      <c r="T18" s="12"/>
      <c r="U18" s="12">
        <v>34250</v>
      </c>
    </row>
    <row r="19" spans="1:24" ht="14.45" customHeight="1" x14ac:dyDescent="0.25">
      <c r="A19" s="7" t="s">
        <v>20</v>
      </c>
      <c r="B19" s="148"/>
      <c r="C19" s="148"/>
      <c r="D19" s="164">
        <v>24000</v>
      </c>
      <c r="E19" s="164"/>
      <c r="F19" s="164"/>
      <c r="G19" s="194">
        <f t="shared" si="0"/>
        <v>24000</v>
      </c>
      <c r="H19" s="217">
        <f t="shared" si="3"/>
        <v>3.845989282189368E-3</v>
      </c>
      <c r="I19" s="217">
        <f>+G19/G$49</f>
        <v>3.845989282189368E-3</v>
      </c>
      <c r="J19" s="217"/>
      <c r="K19" s="164">
        <f t="shared" si="1"/>
        <v>0</v>
      </c>
      <c r="L19" s="386"/>
      <c r="M19" s="203">
        <v>24000</v>
      </c>
      <c r="N19" s="204"/>
      <c r="O19" s="8"/>
      <c r="P19" s="9">
        <f t="shared" si="2"/>
        <v>24000</v>
      </c>
      <c r="Q19" s="10">
        <f>P19/P49</f>
        <v>3.6337429369121665E-3</v>
      </c>
      <c r="R19" s="11"/>
      <c r="S19" s="12">
        <v>24000</v>
      </c>
      <c r="T19" s="12">
        <v>24000</v>
      </c>
      <c r="U19" s="12">
        <v>24444</v>
      </c>
    </row>
    <row r="20" spans="1:24" ht="14.45" hidden="1" customHeight="1" x14ac:dyDescent="0.25">
      <c r="A20" s="7" t="s">
        <v>21</v>
      </c>
      <c r="B20" s="148"/>
      <c r="C20" s="148"/>
      <c r="D20" s="164"/>
      <c r="E20" s="164"/>
      <c r="F20" s="164"/>
      <c r="G20" s="194">
        <f t="shared" si="0"/>
        <v>0</v>
      </c>
      <c r="H20" s="217">
        <f t="shared" si="3"/>
        <v>0</v>
      </c>
      <c r="I20" s="217"/>
      <c r="J20" s="217"/>
      <c r="K20" s="164">
        <f t="shared" si="1"/>
        <v>0</v>
      </c>
      <c r="L20" s="386"/>
      <c r="M20" s="203"/>
      <c r="N20" s="204"/>
      <c r="O20" s="8"/>
      <c r="P20" s="9">
        <f t="shared" si="2"/>
        <v>0</v>
      </c>
      <c r="Q20" s="14">
        <f>P20/P64</f>
        <v>0</v>
      </c>
      <c r="R20" s="11"/>
      <c r="S20" s="12">
        <v>0</v>
      </c>
      <c r="T20" s="12">
        <v>0</v>
      </c>
      <c r="U20" s="12">
        <v>4500</v>
      </c>
    </row>
    <row r="21" spans="1:24" ht="14.45" hidden="1" customHeight="1" x14ac:dyDescent="0.25">
      <c r="A21" s="7" t="s">
        <v>22</v>
      </c>
      <c r="B21" s="148"/>
      <c r="C21" s="148"/>
      <c r="D21" s="164">
        <v>0</v>
      </c>
      <c r="E21" s="164"/>
      <c r="F21" s="164"/>
      <c r="G21" s="194">
        <f t="shared" si="0"/>
        <v>0</v>
      </c>
      <c r="H21" s="217">
        <f t="shared" si="3"/>
        <v>0</v>
      </c>
      <c r="I21" s="217"/>
      <c r="J21" s="217"/>
      <c r="K21" s="164">
        <f t="shared" si="1"/>
        <v>0</v>
      </c>
      <c r="L21" s="386"/>
      <c r="M21" s="203"/>
      <c r="N21" s="204"/>
      <c r="O21" s="8"/>
      <c r="P21" s="9">
        <f t="shared" si="2"/>
        <v>0</v>
      </c>
      <c r="Q21" s="10">
        <v>0</v>
      </c>
      <c r="R21" s="11"/>
      <c r="S21" s="12">
        <v>3000</v>
      </c>
      <c r="T21" s="12"/>
      <c r="U21" s="12">
        <v>0</v>
      </c>
    </row>
    <row r="22" spans="1:24" ht="14.45" customHeight="1" x14ac:dyDescent="0.25">
      <c r="A22" s="7" t="s">
        <v>23</v>
      </c>
      <c r="B22" s="148"/>
      <c r="C22" s="148"/>
      <c r="D22" s="164">
        <v>0</v>
      </c>
      <c r="E22" s="164"/>
      <c r="F22" s="164">
        <v>0</v>
      </c>
      <c r="G22" s="194">
        <f t="shared" si="0"/>
        <v>0</v>
      </c>
      <c r="H22" s="217">
        <f t="shared" si="3"/>
        <v>0</v>
      </c>
      <c r="I22" s="217"/>
      <c r="J22" s="217"/>
      <c r="K22" s="164">
        <f t="shared" si="1"/>
        <v>-500</v>
      </c>
      <c r="L22" s="386"/>
      <c r="M22" s="299"/>
      <c r="N22" s="105"/>
      <c r="O22" s="20">
        <v>500</v>
      </c>
      <c r="P22" s="67">
        <f>M22+N22+O22</f>
        <v>500</v>
      </c>
      <c r="Q22" s="10">
        <v>0</v>
      </c>
      <c r="R22" s="11"/>
      <c r="S22" s="12">
        <v>500</v>
      </c>
      <c r="T22" s="12">
        <v>1600</v>
      </c>
      <c r="U22" s="12">
        <v>0</v>
      </c>
    </row>
    <row r="23" spans="1:24" ht="15" customHeight="1" x14ac:dyDescent="0.25">
      <c r="A23" s="538" t="s">
        <v>24</v>
      </c>
      <c r="B23" s="538"/>
      <c r="C23" s="538"/>
      <c r="D23" s="295">
        <f>900*8*2</f>
        <v>14400</v>
      </c>
      <c r="E23" s="167"/>
      <c r="F23" s="355">
        <v>3000</v>
      </c>
      <c r="G23" s="194">
        <f t="shared" si="0"/>
        <v>17400</v>
      </c>
      <c r="H23" s="217">
        <f t="shared" si="3"/>
        <v>2.7883422295872915E-3</v>
      </c>
      <c r="I23" s="217">
        <f>+G23/G$49</f>
        <v>2.7883422295872915E-3</v>
      </c>
      <c r="J23" s="217"/>
      <c r="K23" s="164">
        <f t="shared" si="1"/>
        <v>11400</v>
      </c>
      <c r="L23" s="386"/>
      <c r="M23" s="203">
        <v>3000</v>
      </c>
      <c r="N23" s="204"/>
      <c r="O23" s="15">
        <v>3000</v>
      </c>
      <c r="P23" s="67">
        <f t="shared" si="2"/>
        <v>6000</v>
      </c>
      <c r="Q23" s="10">
        <f>P23/P49</f>
        <v>9.0843573422804162E-4</v>
      </c>
      <c r="R23" s="11"/>
      <c r="S23" s="12">
        <v>9000</v>
      </c>
      <c r="T23" s="12">
        <v>7500</v>
      </c>
      <c r="U23" s="12">
        <v>3000</v>
      </c>
      <c r="W23" s="343" t="s">
        <v>453</v>
      </c>
    </row>
    <row r="24" spans="1:24" ht="14.45" customHeight="1" x14ac:dyDescent="0.25">
      <c r="A24" s="7" t="s">
        <v>25</v>
      </c>
      <c r="B24" s="148"/>
      <c r="C24" s="148"/>
      <c r="D24" s="164">
        <v>0</v>
      </c>
      <c r="E24" s="164"/>
      <c r="F24" s="354">
        <v>88761</v>
      </c>
      <c r="G24" s="194">
        <f>+F24+E24+D24</f>
        <v>88761</v>
      </c>
      <c r="H24" s="217">
        <f t="shared" si="3"/>
        <v>1.4223910611517104E-2</v>
      </c>
      <c r="I24" s="217">
        <f>+G24/G$49</f>
        <v>1.4223910611517104E-2</v>
      </c>
      <c r="J24" s="217"/>
      <c r="K24" s="164">
        <f t="shared" si="1"/>
        <v>5666</v>
      </c>
      <c r="L24" s="387"/>
      <c r="M24" s="267"/>
      <c r="N24" s="105"/>
      <c r="O24" s="16">
        <v>83095</v>
      </c>
      <c r="P24" s="67">
        <f t="shared" si="2"/>
        <v>83095</v>
      </c>
      <c r="Q24" s="10">
        <f>P24/P49</f>
        <v>1.2581077889279852E-2</v>
      </c>
      <c r="R24" s="11"/>
      <c r="S24" s="12">
        <v>95431</v>
      </c>
      <c r="T24" s="12">
        <v>89933</v>
      </c>
      <c r="U24" s="12">
        <v>89933.13</v>
      </c>
    </row>
    <row r="25" spans="1:24" ht="14.45" hidden="1" customHeight="1" x14ac:dyDescent="0.25">
      <c r="A25" s="7" t="s">
        <v>26</v>
      </c>
      <c r="B25" s="148"/>
      <c r="C25" s="148"/>
      <c r="D25" s="164"/>
      <c r="E25" s="164"/>
      <c r="F25" s="164"/>
      <c r="G25" s="194">
        <f t="shared" si="0"/>
        <v>0</v>
      </c>
      <c r="H25" s="217">
        <f t="shared" si="3"/>
        <v>0</v>
      </c>
      <c r="I25" s="217"/>
      <c r="J25" s="217"/>
      <c r="K25" s="164">
        <f t="shared" si="1"/>
        <v>0</v>
      </c>
      <c r="L25" s="386"/>
      <c r="M25" s="299"/>
      <c r="N25" s="105"/>
      <c r="O25" s="8"/>
      <c r="P25" s="67">
        <f t="shared" si="2"/>
        <v>0</v>
      </c>
      <c r="Q25" s="14">
        <f>P25/P69</f>
        <v>0</v>
      </c>
      <c r="R25" s="11"/>
      <c r="S25" s="12">
        <v>0</v>
      </c>
      <c r="T25" s="12">
        <v>0</v>
      </c>
      <c r="U25" s="12">
        <v>204.08</v>
      </c>
    </row>
    <row r="26" spans="1:24" x14ac:dyDescent="0.25">
      <c r="A26" s="144" t="s">
        <v>27</v>
      </c>
      <c r="B26" s="148"/>
      <c r="C26" s="554"/>
      <c r="D26" s="181"/>
      <c r="E26" s="168"/>
      <c r="F26" s="353">
        <v>68000</v>
      </c>
      <c r="G26" s="194">
        <f t="shared" si="0"/>
        <v>68000</v>
      </c>
      <c r="H26" s="217">
        <f t="shared" si="3"/>
        <v>1.0896969632869876E-2</v>
      </c>
      <c r="I26" s="217">
        <f>+G26/G$49</f>
        <v>1.0896969632869876E-2</v>
      </c>
      <c r="J26" s="217"/>
      <c r="K26" s="164">
        <f t="shared" si="1"/>
        <v>18000</v>
      </c>
      <c r="L26" s="386"/>
      <c r="M26" s="203"/>
      <c r="N26" s="204"/>
      <c r="O26" s="16">
        <v>50000</v>
      </c>
      <c r="P26" s="67">
        <f t="shared" si="2"/>
        <v>50000</v>
      </c>
      <c r="Q26" s="10">
        <f>P26/P49</f>
        <v>7.5702977852336803E-3</v>
      </c>
      <c r="R26" s="11"/>
      <c r="S26" s="12">
        <v>22000</v>
      </c>
      <c r="T26" s="12"/>
      <c r="U26" s="17"/>
      <c r="W26" s="343" t="s">
        <v>518</v>
      </c>
      <c r="X26" s="139"/>
    </row>
    <row r="27" spans="1:24" ht="14.45" hidden="1" customHeight="1" x14ac:dyDescent="0.25">
      <c r="A27" s="145" t="s">
        <v>28</v>
      </c>
      <c r="B27" s="539"/>
      <c r="C27" s="554"/>
      <c r="D27" s="169"/>
      <c r="E27" s="169"/>
      <c r="F27" s="169"/>
      <c r="G27" s="194">
        <f t="shared" si="0"/>
        <v>0</v>
      </c>
      <c r="H27" s="217">
        <f t="shared" si="3"/>
        <v>0</v>
      </c>
      <c r="I27" s="217"/>
      <c r="J27" s="217"/>
      <c r="K27" s="164">
        <f t="shared" si="1"/>
        <v>0</v>
      </c>
      <c r="L27" s="386"/>
      <c r="M27" s="299">
        <v>0</v>
      </c>
      <c r="N27" s="105"/>
      <c r="O27" s="8"/>
      <c r="P27" s="67">
        <v>0</v>
      </c>
      <c r="Q27" s="10">
        <f>P27/P49</f>
        <v>0</v>
      </c>
      <c r="R27" s="11"/>
      <c r="S27" s="12"/>
      <c r="T27" s="12"/>
      <c r="U27" s="17"/>
    </row>
    <row r="28" spans="1:24" ht="14.45" customHeight="1" x14ac:dyDescent="0.25">
      <c r="A28" s="7" t="s">
        <v>29</v>
      </c>
      <c r="B28" s="148"/>
      <c r="C28" s="148"/>
      <c r="D28" s="164"/>
      <c r="E28" s="164"/>
      <c r="F28" s="351">
        <v>55650</v>
      </c>
      <c r="G28" s="194">
        <f t="shared" si="0"/>
        <v>55650</v>
      </c>
      <c r="H28" s="217">
        <f t="shared" si="3"/>
        <v>8.9178876480765969E-3</v>
      </c>
      <c r="I28" s="217">
        <f>+G28/G$49</f>
        <v>8.9178876480765969E-3</v>
      </c>
      <c r="J28" s="217"/>
      <c r="K28" s="164">
        <f t="shared" si="1"/>
        <v>3806</v>
      </c>
      <c r="L28" s="386"/>
      <c r="M28" s="299"/>
      <c r="N28" s="105"/>
      <c r="O28" s="18">
        <v>51844</v>
      </c>
      <c r="P28" s="67">
        <f t="shared" si="2"/>
        <v>51844</v>
      </c>
      <c r="Q28" s="10">
        <f>P28/P49</f>
        <v>7.849490367553098E-3</v>
      </c>
      <c r="R28" s="11"/>
      <c r="S28" s="12">
        <v>59326</v>
      </c>
      <c r="T28" s="12">
        <v>55841</v>
      </c>
      <c r="U28" s="12">
        <v>55841.06</v>
      </c>
      <c r="W28" s="343" t="s">
        <v>446</v>
      </c>
    </row>
    <row r="29" spans="1:24" ht="14.45" customHeight="1" x14ac:dyDescent="0.25">
      <c r="A29" s="7" t="s">
        <v>30</v>
      </c>
      <c r="B29" s="148"/>
      <c r="C29" s="148"/>
      <c r="D29" s="164"/>
      <c r="E29" s="164"/>
      <c r="F29" s="351">
        <v>24000</v>
      </c>
      <c r="G29" s="194">
        <f t="shared" si="0"/>
        <v>24000</v>
      </c>
      <c r="H29" s="217">
        <f t="shared" si="3"/>
        <v>3.845989282189368E-3</v>
      </c>
      <c r="I29" s="217">
        <f>+G29/G$49</f>
        <v>3.845989282189368E-3</v>
      </c>
      <c r="J29" s="217"/>
      <c r="K29" s="164">
        <f t="shared" si="1"/>
        <v>0</v>
      </c>
      <c r="L29" s="386"/>
      <c r="M29" s="203"/>
      <c r="N29" s="105"/>
      <c r="O29" s="18">
        <v>24000</v>
      </c>
      <c r="P29" s="67">
        <f t="shared" si="2"/>
        <v>24000</v>
      </c>
      <c r="Q29" s="10">
        <f>P29/P49</f>
        <v>3.6337429369121665E-3</v>
      </c>
      <c r="R29" s="11"/>
      <c r="S29" s="12">
        <v>35024</v>
      </c>
      <c r="T29" s="12">
        <v>40000</v>
      </c>
      <c r="U29" s="12">
        <v>24549.48</v>
      </c>
    </row>
    <row r="30" spans="1:24" ht="14.45" customHeight="1" x14ac:dyDescent="0.25">
      <c r="A30" s="7" t="s">
        <v>31</v>
      </c>
      <c r="B30" s="148"/>
      <c r="C30" s="148"/>
      <c r="D30" s="164"/>
      <c r="E30" s="164"/>
      <c r="F30" s="351">
        <v>11000</v>
      </c>
      <c r="G30" s="194">
        <f t="shared" si="0"/>
        <v>11000</v>
      </c>
      <c r="H30" s="217">
        <f t="shared" si="3"/>
        <v>1.762745087670127E-3</v>
      </c>
      <c r="I30" s="217">
        <f>+G30/G$49</f>
        <v>1.762745087670127E-3</v>
      </c>
      <c r="J30" s="217"/>
      <c r="K30" s="164">
        <f t="shared" si="1"/>
        <v>0</v>
      </c>
      <c r="L30" s="386"/>
      <c r="M30" s="203"/>
      <c r="N30" s="105"/>
      <c r="O30" s="18">
        <v>11000</v>
      </c>
      <c r="P30" s="67">
        <f t="shared" si="2"/>
        <v>11000</v>
      </c>
      <c r="Q30" s="10">
        <f>P30/P49</f>
        <v>1.6654655127514096E-3</v>
      </c>
      <c r="R30" s="11"/>
      <c r="S30" s="12">
        <v>14000</v>
      </c>
      <c r="T30" s="12">
        <v>10000</v>
      </c>
      <c r="U30" s="12">
        <v>17708.48</v>
      </c>
    </row>
    <row r="31" spans="1:24" ht="14.45" customHeight="1" x14ac:dyDescent="0.25">
      <c r="A31" s="7" t="s">
        <v>32</v>
      </c>
      <c r="B31" s="148"/>
      <c r="C31" s="148"/>
      <c r="D31" s="164"/>
      <c r="E31" s="164"/>
      <c r="F31" s="351">
        <v>7000</v>
      </c>
      <c r="G31" s="194">
        <f t="shared" si="0"/>
        <v>7000</v>
      </c>
      <c r="H31" s="217">
        <f t="shared" si="3"/>
        <v>1.121746873971899E-3</v>
      </c>
      <c r="I31" s="217">
        <f>+G31/G$49</f>
        <v>1.121746873971899E-3</v>
      </c>
      <c r="J31" s="217"/>
      <c r="K31" s="164">
        <f t="shared" si="1"/>
        <v>-755</v>
      </c>
      <c r="L31" s="386"/>
      <c r="M31" s="203"/>
      <c r="N31" s="105"/>
      <c r="O31" s="18">
        <v>7755</v>
      </c>
      <c r="P31" s="67">
        <f t="shared" si="2"/>
        <v>7755</v>
      </c>
      <c r="Q31" s="10">
        <f>P31/P49</f>
        <v>1.1741531864897438E-3</v>
      </c>
      <c r="R31" s="11"/>
      <c r="S31" s="12">
        <v>15000</v>
      </c>
      <c r="T31" s="12">
        <v>0</v>
      </c>
      <c r="U31" s="12">
        <v>0</v>
      </c>
    </row>
    <row r="32" spans="1:24" ht="14.45" customHeight="1" x14ac:dyDescent="0.25">
      <c r="A32" s="388" t="s">
        <v>33</v>
      </c>
      <c r="B32" s="156"/>
      <c r="C32" s="555"/>
      <c r="D32" s="174"/>
      <c r="E32" s="170"/>
      <c r="F32" s="352">
        <v>0</v>
      </c>
      <c r="G32" s="194">
        <f t="shared" si="0"/>
        <v>0</v>
      </c>
      <c r="H32" s="217">
        <f t="shared" si="3"/>
        <v>0</v>
      </c>
      <c r="I32" s="217"/>
      <c r="J32" s="217"/>
      <c r="K32" s="164">
        <f t="shared" si="1"/>
        <v>-24901</v>
      </c>
      <c r="L32" s="386"/>
      <c r="M32" s="203"/>
      <c r="N32" s="204"/>
      <c r="O32" s="18">
        <v>24901</v>
      </c>
      <c r="P32" s="67">
        <f t="shared" si="2"/>
        <v>24901</v>
      </c>
      <c r="Q32" s="10">
        <f>P32/P49</f>
        <v>3.7701597030020775E-3</v>
      </c>
      <c r="R32" s="11"/>
      <c r="S32" s="12">
        <v>0</v>
      </c>
      <c r="T32" s="19"/>
      <c r="U32" s="17"/>
    </row>
    <row r="33" spans="1:23" ht="14.45" hidden="1" customHeight="1" x14ac:dyDescent="0.25">
      <c r="A33" s="145" t="s">
        <v>34</v>
      </c>
      <c r="B33" s="148"/>
      <c r="C33" s="554"/>
      <c r="D33" s="164"/>
      <c r="E33" s="164"/>
      <c r="F33" s="164"/>
      <c r="G33" s="194">
        <f t="shared" si="0"/>
        <v>0</v>
      </c>
      <c r="H33" s="217">
        <f t="shared" si="3"/>
        <v>0</v>
      </c>
      <c r="I33" s="217"/>
      <c r="J33" s="217"/>
      <c r="K33" s="164">
        <f t="shared" si="1"/>
        <v>0</v>
      </c>
      <c r="L33" s="386"/>
      <c r="M33" s="299"/>
      <c r="N33" s="105"/>
      <c r="O33" s="8"/>
      <c r="P33" s="67">
        <f t="shared" si="2"/>
        <v>0</v>
      </c>
      <c r="Q33" s="14">
        <f>P33/P77</f>
        <v>0</v>
      </c>
      <c r="R33" s="11"/>
      <c r="S33" s="12">
        <v>0</v>
      </c>
      <c r="T33" s="12">
        <v>0</v>
      </c>
      <c r="U33" s="12">
        <v>488.83</v>
      </c>
    </row>
    <row r="34" spans="1:23" ht="14.45" hidden="1" customHeight="1" x14ac:dyDescent="0.25">
      <c r="A34" s="145" t="s">
        <v>35</v>
      </c>
      <c r="B34" s="148"/>
      <c r="C34" s="554"/>
      <c r="D34" s="164"/>
      <c r="E34" s="164"/>
      <c r="F34" s="164"/>
      <c r="G34" s="194">
        <f t="shared" si="0"/>
        <v>0</v>
      </c>
      <c r="H34" s="217">
        <f t="shared" si="3"/>
        <v>0</v>
      </c>
      <c r="I34" s="217"/>
      <c r="J34" s="217"/>
      <c r="K34" s="164">
        <f t="shared" si="1"/>
        <v>0</v>
      </c>
      <c r="L34" s="386"/>
      <c r="M34" s="299"/>
      <c r="N34" s="105"/>
      <c r="O34" s="8"/>
      <c r="P34" s="67">
        <f t="shared" si="2"/>
        <v>0</v>
      </c>
      <c r="Q34" s="14"/>
      <c r="R34" s="11"/>
      <c r="S34" s="12">
        <v>0</v>
      </c>
      <c r="T34" s="12">
        <v>0</v>
      </c>
      <c r="U34" s="12">
        <v>1000</v>
      </c>
    </row>
    <row r="35" spans="1:23" x14ac:dyDescent="0.25">
      <c r="A35" s="144" t="s">
        <v>395</v>
      </c>
      <c r="B35" s="148"/>
      <c r="C35" s="554"/>
      <c r="D35" s="181"/>
      <c r="E35" s="168"/>
      <c r="F35" s="396">
        <v>5000</v>
      </c>
      <c r="G35" s="194">
        <f t="shared" si="0"/>
        <v>5000</v>
      </c>
      <c r="H35" s="217">
        <f t="shared" si="3"/>
        <v>8.0124776712278494E-4</v>
      </c>
      <c r="I35" s="217">
        <f>+G35/G$49</f>
        <v>8.0124776712278494E-4</v>
      </c>
      <c r="J35" s="217"/>
      <c r="K35" s="164">
        <f t="shared" si="1"/>
        <v>0</v>
      </c>
      <c r="L35" s="386"/>
      <c r="M35" s="203"/>
      <c r="N35" s="204"/>
      <c r="O35" s="397">
        <v>5000</v>
      </c>
      <c r="P35" s="67">
        <f t="shared" si="2"/>
        <v>5000</v>
      </c>
      <c r="Q35" s="10">
        <f>P35/P49</f>
        <v>7.5702977852336794E-4</v>
      </c>
      <c r="R35" s="11"/>
      <c r="S35" s="12">
        <v>7000</v>
      </c>
      <c r="T35" s="12">
        <v>5000</v>
      </c>
      <c r="U35" s="17"/>
      <c r="W35" s="343" t="s">
        <v>519</v>
      </c>
    </row>
    <row r="36" spans="1:23" ht="14.45" hidden="1" customHeight="1" x14ac:dyDescent="0.25">
      <c r="A36" s="144" t="s">
        <v>36</v>
      </c>
      <c r="B36" s="148"/>
      <c r="C36" s="554"/>
      <c r="D36" s="181"/>
      <c r="E36" s="168"/>
      <c r="F36" s="168"/>
      <c r="G36" s="194">
        <f t="shared" si="0"/>
        <v>0</v>
      </c>
      <c r="H36" s="217">
        <f t="shared" si="3"/>
        <v>0</v>
      </c>
      <c r="I36" s="217"/>
      <c r="J36" s="217"/>
      <c r="K36" s="164">
        <f t="shared" si="1"/>
        <v>0</v>
      </c>
      <c r="L36" s="364"/>
      <c r="M36" s="203"/>
      <c r="N36" s="204"/>
      <c r="O36" s="13"/>
      <c r="P36" s="67">
        <v>0</v>
      </c>
      <c r="Q36" s="10">
        <v>0</v>
      </c>
      <c r="R36" s="11"/>
      <c r="S36" s="12">
        <v>5000</v>
      </c>
      <c r="T36" s="12"/>
      <c r="U36" s="17"/>
    </row>
    <row r="37" spans="1:23" ht="14.45" hidden="1" customHeight="1" x14ac:dyDescent="0.25">
      <c r="A37" s="144" t="s">
        <v>37</v>
      </c>
      <c r="B37" s="148"/>
      <c r="C37" s="554"/>
      <c r="D37" s="181"/>
      <c r="E37" s="168"/>
      <c r="G37" s="194">
        <f>+F36+E37+D37</f>
        <v>0</v>
      </c>
      <c r="H37" s="217">
        <f t="shared" si="3"/>
        <v>0</v>
      </c>
      <c r="I37" s="217"/>
      <c r="J37" s="217"/>
      <c r="K37" s="164">
        <f t="shared" si="1"/>
        <v>0</v>
      </c>
      <c r="L37" s="364"/>
      <c r="M37" s="203"/>
      <c r="N37" s="204"/>
      <c r="O37" s="13"/>
      <c r="P37" s="67">
        <v>0</v>
      </c>
      <c r="Q37" s="10">
        <v>0</v>
      </c>
      <c r="R37" s="11"/>
      <c r="S37" s="12">
        <v>30000</v>
      </c>
      <c r="T37" s="12"/>
      <c r="U37" s="17"/>
    </row>
    <row r="38" spans="1:23" ht="14.45" hidden="1" customHeight="1" x14ac:dyDescent="0.25">
      <c r="A38" s="144" t="s">
        <v>38</v>
      </c>
      <c r="B38" s="148"/>
      <c r="C38" s="554"/>
      <c r="D38" s="181"/>
      <c r="E38" s="168"/>
      <c r="F38" s="168"/>
      <c r="G38" s="194">
        <f t="shared" si="0"/>
        <v>0</v>
      </c>
      <c r="H38" s="217">
        <f t="shared" si="3"/>
        <v>0</v>
      </c>
      <c r="I38" s="217"/>
      <c r="J38" s="217"/>
      <c r="K38" s="164">
        <f t="shared" si="1"/>
        <v>0</v>
      </c>
      <c r="L38" s="364"/>
      <c r="M38" s="203"/>
      <c r="N38" s="204"/>
      <c r="O38" s="13"/>
      <c r="P38" s="67">
        <v>0</v>
      </c>
      <c r="Q38" s="10">
        <v>0</v>
      </c>
      <c r="R38" s="11"/>
      <c r="S38" s="12">
        <v>2227</v>
      </c>
      <c r="T38" s="12"/>
      <c r="U38" s="17"/>
    </row>
    <row r="39" spans="1:23" ht="30" hidden="1" customHeight="1" x14ac:dyDescent="0.25">
      <c r="A39" s="144" t="s">
        <v>39</v>
      </c>
      <c r="B39" s="148"/>
      <c r="C39" s="554"/>
      <c r="D39" s="181"/>
      <c r="E39" s="168"/>
      <c r="F39" s="280"/>
      <c r="G39" s="194">
        <f t="shared" si="0"/>
        <v>0</v>
      </c>
      <c r="H39" s="217">
        <f t="shared" si="3"/>
        <v>0</v>
      </c>
      <c r="I39" s="217"/>
      <c r="J39" s="217"/>
      <c r="K39" s="164">
        <f t="shared" si="1"/>
        <v>0</v>
      </c>
      <c r="L39" s="364"/>
      <c r="M39" s="203"/>
      <c r="N39" s="204"/>
      <c r="O39" s="13"/>
      <c r="P39" s="67">
        <v>0</v>
      </c>
      <c r="Q39" s="10">
        <v>0</v>
      </c>
      <c r="R39" s="11"/>
      <c r="S39" s="12">
        <v>30311</v>
      </c>
      <c r="T39" s="12"/>
      <c r="U39" s="17"/>
    </row>
    <row r="40" spans="1:23" ht="14.45" customHeight="1" x14ac:dyDescent="0.25">
      <c r="A40" s="691" t="s">
        <v>40</v>
      </c>
      <c r="B40" s="540"/>
      <c r="C40" s="556"/>
      <c r="D40" s="214"/>
      <c r="E40" s="171"/>
      <c r="F40" s="171">
        <v>0</v>
      </c>
      <c r="G40" s="194">
        <f t="shared" si="0"/>
        <v>0</v>
      </c>
      <c r="H40" s="217">
        <f t="shared" si="3"/>
        <v>0</v>
      </c>
      <c r="I40" s="217"/>
      <c r="J40" s="217"/>
      <c r="K40" s="164">
        <f t="shared" si="1"/>
        <v>-225000</v>
      </c>
      <c r="L40" s="364"/>
      <c r="M40" s="203"/>
      <c r="N40" s="204"/>
      <c r="O40" s="21">
        <v>225000</v>
      </c>
      <c r="P40" s="67">
        <f t="shared" si="2"/>
        <v>225000</v>
      </c>
      <c r="Q40" s="10">
        <f>P40/P49</f>
        <v>3.4066340033551558E-2</v>
      </c>
      <c r="R40" s="11"/>
      <c r="S40" s="12">
        <v>340000</v>
      </c>
      <c r="T40" s="12">
        <v>20000</v>
      </c>
      <c r="U40" s="17"/>
    </row>
    <row r="41" spans="1:23" x14ac:dyDescent="0.25">
      <c r="A41" s="144" t="s">
        <v>41</v>
      </c>
      <c r="B41" s="148"/>
      <c r="C41" s="554"/>
      <c r="D41" s="181"/>
      <c r="E41" s="181"/>
      <c r="F41" s="172">
        <v>0</v>
      </c>
      <c r="G41" s="194">
        <f t="shared" si="0"/>
        <v>0</v>
      </c>
      <c r="H41" s="217">
        <f t="shared" si="3"/>
        <v>0</v>
      </c>
      <c r="I41" s="217"/>
      <c r="J41" s="217"/>
      <c r="K41" s="164">
        <f t="shared" si="1"/>
        <v>-45000</v>
      </c>
      <c r="L41" s="364"/>
      <c r="M41" s="300"/>
      <c r="N41" s="204"/>
      <c r="O41" s="23">
        <v>45000</v>
      </c>
      <c r="P41" s="67">
        <f t="shared" si="2"/>
        <v>45000</v>
      </c>
      <c r="Q41" s="10">
        <f>P41/P49</f>
        <v>6.8132680067103119E-3</v>
      </c>
      <c r="R41" s="11"/>
      <c r="S41" s="12"/>
      <c r="T41" s="12">
        <v>95000</v>
      </c>
      <c r="U41" s="17"/>
    </row>
    <row r="42" spans="1:23" ht="16.5" customHeight="1" x14ac:dyDescent="0.25">
      <c r="A42" s="145" t="s">
        <v>42</v>
      </c>
      <c r="B42" s="148"/>
      <c r="C42" s="554"/>
      <c r="D42" s="164"/>
      <c r="E42" s="164"/>
      <c r="F42" s="164">
        <v>0</v>
      </c>
      <c r="G42" s="194">
        <f t="shared" si="0"/>
        <v>0</v>
      </c>
      <c r="H42" s="217">
        <f t="shared" si="3"/>
        <v>0</v>
      </c>
      <c r="I42" s="217"/>
      <c r="J42" s="217"/>
      <c r="K42" s="164">
        <f t="shared" si="1"/>
        <v>-77000</v>
      </c>
      <c r="L42" s="364"/>
      <c r="M42" s="267"/>
      <c r="N42" s="105"/>
      <c r="O42" s="25">
        <v>77000</v>
      </c>
      <c r="P42" s="67">
        <f t="shared" si="2"/>
        <v>77000</v>
      </c>
      <c r="Q42" s="10">
        <f>P42/P49</f>
        <v>1.1658258589259868E-2</v>
      </c>
      <c r="R42" s="11"/>
      <c r="S42" s="12">
        <v>108453</v>
      </c>
      <c r="T42" s="12"/>
      <c r="U42" s="12">
        <v>0</v>
      </c>
      <c r="W42" s="241"/>
    </row>
    <row r="43" spans="1:23" x14ac:dyDescent="0.25">
      <c r="A43" s="145" t="s">
        <v>43</v>
      </c>
      <c r="B43" s="148"/>
      <c r="C43" s="554"/>
      <c r="D43" s="164"/>
      <c r="E43" s="164"/>
      <c r="F43" s="164"/>
      <c r="G43" s="194">
        <f t="shared" si="0"/>
        <v>0</v>
      </c>
      <c r="H43" s="217">
        <f t="shared" si="3"/>
        <v>0</v>
      </c>
      <c r="I43" s="217"/>
      <c r="J43" s="217"/>
      <c r="K43" s="164">
        <f t="shared" si="1"/>
        <v>0</v>
      </c>
      <c r="L43" s="364"/>
      <c r="M43" s="299"/>
      <c r="N43" s="105"/>
      <c r="O43" s="8"/>
      <c r="P43" s="67">
        <f t="shared" si="2"/>
        <v>0</v>
      </c>
      <c r="Q43" s="14"/>
      <c r="R43" s="11"/>
      <c r="S43" s="12">
        <v>0</v>
      </c>
      <c r="T43" s="12">
        <v>0</v>
      </c>
      <c r="U43" s="12">
        <v>500</v>
      </c>
    </row>
    <row r="44" spans="1:23" x14ac:dyDescent="0.25">
      <c r="A44" s="145" t="s">
        <v>44</v>
      </c>
      <c r="B44" s="148"/>
      <c r="C44" s="554"/>
      <c r="D44" s="164"/>
      <c r="E44" s="164"/>
      <c r="F44" s="289">
        <v>100000</v>
      </c>
      <c r="G44" s="194">
        <f t="shared" si="0"/>
        <v>100000</v>
      </c>
      <c r="H44" s="217">
        <f t="shared" si="3"/>
        <v>1.60249553424557E-2</v>
      </c>
      <c r="I44" s="217">
        <f>+G44/G$49</f>
        <v>1.60249553424557E-2</v>
      </c>
      <c r="J44" s="217"/>
      <c r="K44" s="164">
        <f t="shared" si="1"/>
        <v>25100</v>
      </c>
      <c r="L44" s="364"/>
      <c r="M44" s="299"/>
      <c r="N44" s="105"/>
      <c r="O44" s="26">
        <v>74900</v>
      </c>
      <c r="P44" s="67">
        <f t="shared" si="2"/>
        <v>74900</v>
      </c>
      <c r="Q44" s="10">
        <f>P44/P49</f>
        <v>1.1340306082280052E-2</v>
      </c>
      <c r="R44" s="11"/>
      <c r="S44" s="12">
        <v>186305</v>
      </c>
      <c r="T44" s="12"/>
      <c r="U44" s="12">
        <v>4000</v>
      </c>
      <c r="W44" s="343" t="s">
        <v>520</v>
      </c>
    </row>
    <row r="45" spans="1:23" ht="14.45" customHeight="1" x14ac:dyDescent="0.25">
      <c r="A45" s="145" t="s">
        <v>45</v>
      </c>
      <c r="B45" s="148"/>
      <c r="C45" s="554"/>
      <c r="D45" s="164"/>
      <c r="E45" s="164"/>
      <c r="F45" s="287">
        <v>1500</v>
      </c>
      <c r="G45" s="194">
        <f t="shared" si="0"/>
        <v>1500</v>
      </c>
      <c r="H45" s="217">
        <f t="shared" si="3"/>
        <v>2.403743301368355E-4</v>
      </c>
      <c r="I45" s="217">
        <f>+G45/G$49</f>
        <v>2.403743301368355E-4</v>
      </c>
      <c r="J45" s="217"/>
      <c r="K45" s="164">
        <f t="shared" si="1"/>
        <v>25</v>
      </c>
      <c r="L45" s="364"/>
      <c r="M45" s="267"/>
      <c r="N45" s="105"/>
      <c r="O45" s="27">
        <v>1475</v>
      </c>
      <c r="P45" s="67">
        <f t="shared" si="2"/>
        <v>1475</v>
      </c>
      <c r="Q45" s="10">
        <f>P45/P49</f>
        <v>2.2332378466439356E-4</v>
      </c>
      <c r="R45" s="11"/>
      <c r="S45" s="12">
        <v>0</v>
      </c>
      <c r="T45" s="12"/>
      <c r="U45" s="12">
        <v>1439.68</v>
      </c>
    </row>
    <row r="46" spans="1:23" ht="14.45" hidden="1" customHeight="1" x14ac:dyDescent="0.25">
      <c r="A46" s="145" t="s">
        <v>46</v>
      </c>
      <c r="B46" s="148"/>
      <c r="C46" s="554"/>
      <c r="D46" s="164"/>
      <c r="E46" s="164"/>
      <c r="F46" s="287"/>
      <c r="G46" s="194">
        <f t="shared" si="0"/>
        <v>0</v>
      </c>
      <c r="H46" s="217">
        <f t="shared" si="3"/>
        <v>0</v>
      </c>
      <c r="I46" s="217"/>
      <c r="J46" s="217"/>
      <c r="K46" s="164">
        <f t="shared" si="1"/>
        <v>0</v>
      </c>
      <c r="L46" s="364"/>
      <c r="M46" s="299"/>
      <c r="N46" s="105"/>
      <c r="O46" s="8"/>
      <c r="P46" s="67">
        <f t="shared" si="2"/>
        <v>0</v>
      </c>
      <c r="Q46" s="14">
        <f>P46/P86</f>
        <v>0</v>
      </c>
      <c r="R46" s="11"/>
      <c r="S46" s="12">
        <v>0</v>
      </c>
      <c r="T46" s="12">
        <v>0</v>
      </c>
      <c r="U46" s="12">
        <v>4957.46</v>
      </c>
    </row>
    <row r="47" spans="1:23" ht="14.45" customHeight="1" x14ac:dyDescent="0.25">
      <c r="A47" s="145" t="s">
        <v>47</v>
      </c>
      <c r="B47" s="148"/>
      <c r="C47" s="554"/>
      <c r="D47" s="164"/>
      <c r="E47" s="164"/>
      <c r="F47" s="288">
        <v>22000</v>
      </c>
      <c r="G47" s="194">
        <f t="shared" si="0"/>
        <v>22000</v>
      </c>
      <c r="H47" s="217">
        <f t="shared" si="3"/>
        <v>3.5254901753402541E-3</v>
      </c>
      <c r="I47" s="217">
        <f>+G47/G$49</f>
        <v>3.5254901753402541E-3</v>
      </c>
      <c r="J47" s="217"/>
      <c r="K47" s="164">
        <f t="shared" si="1"/>
        <v>0</v>
      </c>
      <c r="L47" s="364"/>
      <c r="M47" s="267"/>
      <c r="N47" s="105"/>
      <c r="O47" s="28">
        <v>22000</v>
      </c>
      <c r="P47" s="67">
        <f t="shared" si="2"/>
        <v>22000</v>
      </c>
      <c r="Q47" s="10">
        <f>P47/P49</f>
        <v>3.3309310255028191E-3</v>
      </c>
      <c r="R47" s="11"/>
      <c r="S47" s="12">
        <v>14400</v>
      </c>
      <c r="T47" s="12"/>
      <c r="U47" s="12">
        <v>16008.3</v>
      </c>
    </row>
    <row r="48" spans="1:23" ht="14.45" customHeight="1" x14ac:dyDescent="0.25">
      <c r="A48" s="145" t="s">
        <v>48</v>
      </c>
      <c r="B48" s="148"/>
      <c r="C48" s="554"/>
      <c r="D48" s="164"/>
      <c r="E48" s="164"/>
      <c r="F48" s="287">
        <v>600</v>
      </c>
      <c r="G48" s="194">
        <f t="shared" si="0"/>
        <v>600</v>
      </c>
      <c r="H48" s="217">
        <f t="shared" si="3"/>
        <v>9.6149732054734191E-5</v>
      </c>
      <c r="I48" s="217">
        <f>+G48/G$49</f>
        <v>9.6149732054734191E-5</v>
      </c>
      <c r="J48" s="217"/>
      <c r="K48" s="164">
        <f t="shared" si="1"/>
        <v>0</v>
      </c>
      <c r="L48" s="364"/>
      <c r="M48" s="299"/>
      <c r="N48" s="105"/>
      <c r="O48" s="28">
        <v>600</v>
      </c>
      <c r="P48" s="67">
        <f t="shared" si="2"/>
        <v>600</v>
      </c>
      <c r="Q48" s="10">
        <f>P48/P49</f>
        <v>9.0843573422804165E-5</v>
      </c>
      <c r="R48" s="11"/>
      <c r="S48" s="12">
        <v>0</v>
      </c>
      <c r="T48" s="12"/>
      <c r="U48" s="12">
        <v>323.12</v>
      </c>
    </row>
    <row r="49" spans="1:23" ht="41.1" customHeight="1" x14ac:dyDescent="0.25">
      <c r="A49" s="681" t="s">
        <v>549</v>
      </c>
      <c r="B49" s="670"/>
      <c r="C49" s="671"/>
      <c r="D49" s="650">
        <f>SUM(D4:D48)</f>
        <v>2918298</v>
      </c>
      <c r="E49" s="672">
        <f t="shared" ref="E49:I49" si="5">SUM(E4:E48)</f>
        <v>2547583</v>
      </c>
      <c r="F49" s="672">
        <f>SUM(F4:F48)</f>
        <v>774386</v>
      </c>
      <c r="G49" s="672">
        <f t="shared" si="5"/>
        <v>6240267</v>
      </c>
      <c r="H49" s="673">
        <f t="shared" si="5"/>
        <v>0.99999999999999967</v>
      </c>
      <c r="I49" s="652">
        <f t="shared" si="5"/>
        <v>0.99999999999999967</v>
      </c>
      <c r="J49" s="673"/>
      <c r="K49" s="674">
        <f>SUM(K4:K48)</f>
        <v>-364493</v>
      </c>
      <c r="L49" s="675"/>
      <c r="M49" s="654">
        <f>SUM(M4:M48)</f>
        <v>3140175</v>
      </c>
      <c r="N49" s="654">
        <f>SUM(N4:N48)</f>
        <v>2518034</v>
      </c>
      <c r="O49" s="676">
        <f>SUM(O4:O48)</f>
        <v>946551</v>
      </c>
      <c r="P49" s="655">
        <f>SUM(M49:O49)</f>
        <v>6604760</v>
      </c>
      <c r="Q49" s="30">
        <v>1</v>
      </c>
      <c r="R49" s="29">
        <f>P49-S49</f>
        <v>-28681</v>
      </c>
      <c r="S49" s="31">
        <f>SUM(S4:S48)</f>
        <v>6633441</v>
      </c>
      <c r="T49" s="32">
        <v>5862633</v>
      </c>
      <c r="U49" s="32">
        <v>6065232</v>
      </c>
    </row>
    <row r="50" spans="1:23" ht="15" customHeight="1" x14ac:dyDescent="0.25">
      <c r="A50" s="33"/>
      <c r="B50" s="542"/>
      <c r="C50" s="557"/>
      <c r="D50" s="173"/>
      <c r="E50" s="173"/>
      <c r="F50" s="173"/>
      <c r="G50" s="432"/>
      <c r="H50" s="222"/>
      <c r="I50" s="230"/>
      <c r="J50" s="230"/>
      <c r="K50" s="230"/>
      <c r="L50" s="320"/>
      <c r="M50" s="34"/>
      <c r="N50" s="34"/>
      <c r="O50" s="35"/>
      <c r="P50" s="36"/>
      <c r="Q50" s="36"/>
      <c r="R50" s="6"/>
      <c r="S50" s="37"/>
      <c r="T50" s="37"/>
      <c r="U50" s="37"/>
      <c r="V50" s="389"/>
    </row>
    <row r="51" spans="1:23" ht="18" customHeight="1" x14ac:dyDescent="0.25">
      <c r="A51" s="690" t="s">
        <v>49</v>
      </c>
      <c r="B51" s="683"/>
      <c r="C51" s="683"/>
      <c r="D51" s="683"/>
      <c r="E51" s="683"/>
      <c r="F51" s="683"/>
      <c r="G51" s="683"/>
      <c r="H51" s="683"/>
      <c r="I51" s="683"/>
      <c r="J51" s="683"/>
      <c r="K51" s="683"/>
      <c r="L51" s="688"/>
      <c r="M51" s="689"/>
      <c r="N51" s="683"/>
      <c r="O51" s="683"/>
      <c r="P51" s="683"/>
      <c r="Q51" s="38"/>
      <c r="R51" s="39"/>
      <c r="S51" s="40"/>
      <c r="T51" s="40"/>
      <c r="U51" s="41"/>
    </row>
    <row r="52" spans="1:23" ht="14.45" customHeight="1" x14ac:dyDescent="0.25">
      <c r="A52" s="156" t="s">
        <v>50</v>
      </c>
      <c r="B52" s="156"/>
      <c r="C52" s="156"/>
      <c r="D52" s="497">
        <v>50000</v>
      </c>
      <c r="E52" s="497">
        <f>400000-50000</f>
        <v>350000</v>
      </c>
      <c r="F52" s="174"/>
      <c r="G52" s="194">
        <f t="shared" ref="G52:G53" si="6">+F52+E52+D52</f>
        <v>400000</v>
      </c>
      <c r="H52" s="220">
        <f>+G52-P52</f>
        <v>0</v>
      </c>
      <c r="I52" s="220"/>
      <c r="J52" s="235"/>
      <c r="K52" s="164">
        <f>+G52-P52</f>
        <v>0</v>
      </c>
      <c r="L52" s="321"/>
      <c r="M52" s="204">
        <v>130000</v>
      </c>
      <c r="N52" s="204">
        <v>270000</v>
      </c>
      <c r="O52" s="8"/>
      <c r="P52" s="9">
        <f t="shared" ref="P52:P54" si="7">M52+N52+O52</f>
        <v>400000</v>
      </c>
      <c r="Q52" s="42">
        <f>P52/P56</f>
        <v>6.7741957336115266E-2</v>
      </c>
      <c r="R52" s="43"/>
      <c r="S52" s="12">
        <v>387395</v>
      </c>
      <c r="T52" s="44">
        <v>388801</v>
      </c>
      <c r="U52" s="44">
        <v>388801</v>
      </c>
    </row>
    <row r="53" spans="1:23" ht="14.45" customHeight="1" x14ac:dyDescent="0.25">
      <c r="A53" s="156" t="s">
        <v>51</v>
      </c>
      <c r="B53" s="156"/>
      <c r="C53" s="156"/>
      <c r="D53" s="174"/>
      <c r="E53" s="174">
        <v>300000</v>
      </c>
      <c r="F53" s="174"/>
      <c r="G53" s="194">
        <f t="shared" si="6"/>
        <v>300000</v>
      </c>
      <c r="H53" s="220">
        <f>+G53-P53</f>
        <v>0</v>
      </c>
      <c r="I53" s="220"/>
      <c r="J53" s="235"/>
      <c r="K53" s="164">
        <f t="shared" ref="K53" si="8">+G53-P53</f>
        <v>0</v>
      </c>
      <c r="L53" s="321"/>
      <c r="M53" s="204"/>
      <c r="N53" s="204">
        <v>300000</v>
      </c>
      <c r="O53" s="8"/>
      <c r="P53" s="9">
        <f t="shared" si="7"/>
        <v>300000</v>
      </c>
      <c r="Q53" s="42">
        <f>P53/P49</f>
        <v>4.5421786711402082E-2</v>
      </c>
      <c r="R53" s="43"/>
      <c r="S53" s="12">
        <v>300000</v>
      </c>
      <c r="T53" s="44">
        <v>265000</v>
      </c>
      <c r="U53" s="44">
        <v>265000</v>
      </c>
    </row>
    <row r="54" spans="1:23" ht="14.45" customHeight="1" x14ac:dyDescent="0.25">
      <c r="A54" s="157" t="s">
        <v>52</v>
      </c>
      <c r="B54" s="541"/>
      <c r="C54" s="541"/>
      <c r="D54" s="274">
        <f>SUM(D52:D53)</f>
        <v>50000</v>
      </c>
      <c r="E54" s="274">
        <f>SUM(E52:E53)</f>
        <v>650000</v>
      </c>
      <c r="F54" s="274">
        <f>SUM(F52:F53)</f>
        <v>0</v>
      </c>
      <c r="G54" s="274">
        <f>SUM(G52:G53)</f>
        <v>700000</v>
      </c>
      <c r="H54" s="222">
        <f>SUM(H52:H53)</f>
        <v>0</v>
      </c>
      <c r="I54" s="222"/>
      <c r="J54" s="236"/>
      <c r="K54" s="222">
        <f>+K53+K52</f>
        <v>0</v>
      </c>
      <c r="L54" s="635"/>
      <c r="M54" s="205">
        <f>SUM(M52:M53)</f>
        <v>130000</v>
      </c>
      <c r="N54" s="205">
        <f>SUM(N52:N53)</f>
        <v>570000</v>
      </c>
      <c r="O54" s="46"/>
      <c r="P54" s="45">
        <f t="shared" si="7"/>
        <v>700000</v>
      </c>
      <c r="Q54" s="47">
        <f>P54/P49</f>
        <v>0.10598416899327152</v>
      </c>
      <c r="R54" s="48">
        <f>P54-S54</f>
        <v>12605</v>
      </c>
      <c r="S54" s="32">
        <f>SUM(S52:S53)</f>
        <v>687395</v>
      </c>
      <c r="T54" s="49">
        <f>SUM(T52:T53)</f>
        <v>653801</v>
      </c>
      <c r="U54" s="49">
        <f>SUM(U52:U53)</f>
        <v>653801</v>
      </c>
    </row>
    <row r="55" spans="1:23" ht="15" customHeight="1" x14ac:dyDescent="0.25">
      <c r="A55" s="33"/>
      <c r="B55" s="542"/>
      <c r="C55" s="557"/>
      <c r="D55" s="173"/>
      <c r="E55" s="173"/>
      <c r="F55" s="173"/>
      <c r="G55" s="173"/>
      <c r="H55" s="222"/>
      <c r="I55" s="230"/>
      <c r="J55" s="230"/>
      <c r="K55" s="230"/>
      <c r="L55" s="320"/>
      <c r="M55" s="34"/>
      <c r="N55" s="34"/>
      <c r="O55" s="35"/>
      <c r="P55" s="36"/>
      <c r="Q55" s="36"/>
      <c r="R55" s="6"/>
      <c r="S55" s="37"/>
      <c r="T55" s="37"/>
      <c r="U55" s="37"/>
    </row>
    <row r="56" spans="1:23" s="593" customFormat="1" ht="41.1" customHeight="1" x14ac:dyDescent="0.25">
      <c r="A56" s="682" t="s">
        <v>550</v>
      </c>
      <c r="B56" s="670"/>
      <c r="C56" s="670"/>
      <c r="D56" s="677">
        <f>D49-D54</f>
        <v>2868298</v>
      </c>
      <c r="E56" s="677">
        <f>E49-E54</f>
        <v>1897583</v>
      </c>
      <c r="F56" s="677">
        <f>F49-F54</f>
        <v>774386</v>
      </c>
      <c r="G56" s="677">
        <f>G49-G54</f>
        <v>5540267</v>
      </c>
      <c r="H56" s="678"/>
      <c r="I56" s="680">
        <f>+G56/G49</f>
        <v>0.88782531260281006</v>
      </c>
      <c r="J56" s="678"/>
      <c r="K56" s="650">
        <f>K49-K54</f>
        <v>-364493</v>
      </c>
      <c r="L56" s="679"/>
      <c r="M56" s="654">
        <f>M49-M54</f>
        <v>3010175</v>
      </c>
      <c r="N56" s="654">
        <f>N49-N54</f>
        <v>1948034</v>
      </c>
      <c r="O56" s="676">
        <f>O49</f>
        <v>946551</v>
      </c>
      <c r="P56" s="655">
        <f>M56+N56+O56</f>
        <v>5904760</v>
      </c>
      <c r="Q56" s="669"/>
      <c r="R56" s="669">
        <f>P56-S56</f>
        <v>-41286</v>
      </c>
      <c r="S56" s="669">
        <f>S49-S54</f>
        <v>5946046</v>
      </c>
      <c r="T56" s="630">
        <f>T49-T54</f>
        <v>5208832</v>
      </c>
      <c r="U56" s="630">
        <f>U49-U54</f>
        <v>5411431</v>
      </c>
    </row>
    <row r="57" spans="1:23" ht="30" customHeight="1" x14ac:dyDescent="0.25">
      <c r="L57" s="322"/>
    </row>
    <row r="58" spans="1:23" s="593" customFormat="1" ht="30" customHeight="1" x14ac:dyDescent="0.25">
      <c r="A58" s="609" t="s">
        <v>552</v>
      </c>
      <c r="B58" s="610"/>
      <c r="C58" s="610"/>
      <c r="D58" s="611"/>
      <c r="E58" s="611"/>
      <c r="F58" s="611"/>
      <c r="G58" s="611"/>
      <c r="H58" s="612"/>
      <c r="I58" s="613"/>
      <c r="J58" s="613"/>
      <c r="K58" s="613"/>
      <c r="L58" s="614"/>
      <c r="M58" s="615"/>
      <c r="N58" s="615"/>
      <c r="O58" s="615"/>
      <c r="P58" s="616"/>
      <c r="Q58" s="616"/>
      <c r="R58" s="617"/>
      <c r="S58" s="616"/>
      <c r="T58" s="618"/>
      <c r="U58" s="619"/>
    </row>
    <row r="59" spans="1:23" ht="30.75" customHeight="1" x14ac:dyDescent="0.25">
      <c r="A59" s="52" t="s">
        <v>53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323"/>
      <c r="M59" s="301"/>
      <c r="N59" s="52"/>
      <c r="O59" s="52"/>
      <c r="P59" s="53"/>
      <c r="Q59" s="53"/>
      <c r="R59" s="147"/>
      <c r="S59" s="147"/>
      <c r="T59" s="54"/>
      <c r="U59" s="54"/>
    </row>
    <row r="60" spans="1:23" ht="14.45" customHeight="1" x14ac:dyDescent="0.25">
      <c r="A60" s="148" t="s">
        <v>54</v>
      </c>
      <c r="B60" s="544"/>
      <c r="C60" s="558"/>
      <c r="D60" s="164"/>
      <c r="E60" s="164"/>
      <c r="F60" s="544">
        <v>226630</v>
      </c>
      <c r="G60" s="194">
        <f>+F60+E60+D60</f>
        <v>226630</v>
      </c>
      <c r="H60" s="218"/>
      <c r="I60" s="218"/>
      <c r="J60" s="218"/>
      <c r="K60" s="164">
        <f t="shared" ref="K60:K76" si="9">+G60-P60</f>
        <v>-2504</v>
      </c>
      <c r="L60" s="364"/>
      <c r="M60" s="302">
        <v>29615</v>
      </c>
      <c r="N60" s="208"/>
      <c r="O60" s="357">
        <v>199519</v>
      </c>
      <c r="P60" s="67">
        <f>M60+N60+O60</f>
        <v>229134</v>
      </c>
      <c r="Q60" s="9"/>
      <c r="R60" s="9"/>
      <c r="S60" s="12">
        <v>212180</v>
      </c>
      <c r="T60" s="44">
        <v>206000</v>
      </c>
      <c r="U60" s="44">
        <v>206000.08</v>
      </c>
      <c r="W60" s="343" t="s">
        <v>455</v>
      </c>
    </row>
    <row r="61" spans="1:23" ht="14.45" customHeight="1" x14ac:dyDescent="0.25">
      <c r="A61" s="148" t="s">
        <v>55</v>
      </c>
      <c r="B61" s="544"/>
      <c r="C61" s="558"/>
      <c r="D61" s="164"/>
      <c r="E61" s="164"/>
      <c r="F61" s="544">
        <f>+P61*1.0306-0.45</f>
        <v>32280.003199999999</v>
      </c>
      <c r="G61" s="194">
        <f t="shared" ref="G61:G71" si="10">+F61+E61+D61</f>
        <v>32280.003199999999</v>
      </c>
      <c r="H61" s="218"/>
      <c r="I61" s="218"/>
      <c r="J61" s="218"/>
      <c r="K61" s="164">
        <f t="shared" si="9"/>
        <v>958.0031999999992</v>
      </c>
      <c r="L61" s="364"/>
      <c r="M61" s="302">
        <v>3860</v>
      </c>
      <c r="N61" s="208"/>
      <c r="O61" s="357">
        <v>27462</v>
      </c>
      <c r="P61" s="67">
        <f t="shared" ref="P61:P76" si="11">M61+N61+O61</f>
        <v>31322</v>
      </c>
      <c r="Q61" s="9"/>
      <c r="R61" s="9"/>
      <c r="S61" s="12">
        <v>20084</v>
      </c>
      <c r="T61" s="44">
        <v>26700</v>
      </c>
      <c r="U61" s="44">
        <v>27792</v>
      </c>
    </row>
    <row r="62" spans="1:23" ht="14.45" customHeight="1" x14ac:dyDescent="0.25">
      <c r="A62" s="148" t="s">
        <v>56</v>
      </c>
      <c r="B62" s="544"/>
      <c r="C62" s="558"/>
      <c r="D62" s="164"/>
      <c r="E62" s="164"/>
      <c r="F62" s="544">
        <v>2860</v>
      </c>
      <c r="G62" s="194">
        <f t="shared" si="10"/>
        <v>2860</v>
      </c>
      <c r="H62" s="218"/>
      <c r="I62" s="218"/>
      <c r="J62" s="218"/>
      <c r="K62" s="164">
        <f t="shared" si="9"/>
        <v>-1140</v>
      </c>
      <c r="L62" s="364"/>
      <c r="M62" s="303">
        <v>500</v>
      </c>
      <c r="N62" s="208"/>
      <c r="O62" s="357">
        <v>3500</v>
      </c>
      <c r="P62" s="67">
        <f t="shared" si="11"/>
        <v>4000</v>
      </c>
      <c r="Q62" s="9"/>
      <c r="R62" s="9"/>
      <c r="S62" s="12">
        <v>4000</v>
      </c>
      <c r="T62" s="44">
        <v>0</v>
      </c>
      <c r="U62" s="44">
        <v>0</v>
      </c>
    </row>
    <row r="63" spans="1:23" ht="14.45" customHeight="1" x14ac:dyDescent="0.25">
      <c r="A63" s="148" t="s">
        <v>57</v>
      </c>
      <c r="B63" s="544"/>
      <c r="C63" s="558"/>
      <c r="D63" s="165"/>
      <c r="E63" s="164"/>
      <c r="F63" s="608">
        <v>460</v>
      </c>
      <c r="G63" s="194">
        <f t="shared" si="10"/>
        <v>460</v>
      </c>
      <c r="H63" s="218"/>
      <c r="I63" s="218"/>
      <c r="J63" s="218"/>
      <c r="K63" s="164">
        <f t="shared" si="9"/>
        <v>154</v>
      </c>
      <c r="L63" s="367"/>
      <c r="M63" s="137">
        <v>306</v>
      </c>
      <c r="N63" s="208"/>
      <c r="O63" s="55"/>
      <c r="P63" s="67">
        <f t="shared" si="11"/>
        <v>306</v>
      </c>
      <c r="Q63" s="9"/>
      <c r="R63" s="9"/>
      <c r="S63" s="12">
        <v>306</v>
      </c>
      <c r="T63" s="44">
        <v>300</v>
      </c>
      <c r="U63" s="44">
        <v>306</v>
      </c>
    </row>
    <row r="64" spans="1:23" ht="14.45" customHeight="1" x14ac:dyDescent="0.25">
      <c r="A64" s="148" t="s">
        <v>58</v>
      </c>
      <c r="B64" s="544"/>
      <c r="C64" s="558"/>
      <c r="D64" s="164"/>
      <c r="E64" s="164"/>
      <c r="F64" s="544">
        <v>9000</v>
      </c>
      <c r="G64" s="194">
        <f t="shared" si="10"/>
        <v>9000</v>
      </c>
      <c r="H64" s="218"/>
      <c r="I64" s="218"/>
      <c r="J64" s="218"/>
      <c r="K64" s="164">
        <f t="shared" si="9"/>
        <v>0</v>
      </c>
      <c r="L64" s="364"/>
      <c r="M64" s="302"/>
      <c r="N64" s="208"/>
      <c r="O64" s="357">
        <v>9000</v>
      </c>
      <c r="P64" s="67">
        <f t="shared" si="11"/>
        <v>9000</v>
      </c>
      <c r="Q64" s="9"/>
      <c r="R64" s="9"/>
      <c r="S64" s="12">
        <v>8500</v>
      </c>
      <c r="T64" s="44">
        <v>8500</v>
      </c>
      <c r="U64" s="44">
        <v>8509.15</v>
      </c>
    </row>
    <row r="65" spans="1:23" ht="14.45" customHeight="1" x14ac:dyDescent="0.25">
      <c r="A65" s="148" t="s">
        <v>59</v>
      </c>
      <c r="B65" s="544"/>
      <c r="C65" s="558"/>
      <c r="D65" s="164">
        <f>0.18*F60</f>
        <v>40793.4</v>
      </c>
      <c r="E65" s="164"/>
      <c r="F65" s="544"/>
      <c r="G65" s="194">
        <f t="shared" si="10"/>
        <v>40793.4</v>
      </c>
      <c r="H65" s="218"/>
      <c r="I65" s="218"/>
      <c r="J65" s="218"/>
      <c r="K65" s="164">
        <f t="shared" si="9"/>
        <v>1193.4000000000015</v>
      </c>
      <c r="L65" s="364"/>
      <c r="M65" s="302">
        <v>39600</v>
      </c>
      <c r="N65" s="208"/>
      <c r="O65" s="57"/>
      <c r="P65" s="67">
        <f t="shared" si="11"/>
        <v>39600</v>
      </c>
      <c r="Q65" s="9"/>
      <c r="R65" s="9"/>
      <c r="S65" s="12"/>
      <c r="T65" s="44"/>
      <c r="U65" s="58"/>
      <c r="V65" s="358"/>
      <c r="W65" s="342"/>
    </row>
    <row r="66" spans="1:23" ht="14.45" hidden="1" customHeight="1" x14ac:dyDescent="0.25">
      <c r="A66" s="148" t="s">
        <v>60</v>
      </c>
      <c r="B66" s="544"/>
      <c r="C66" s="558"/>
      <c r="D66" s="164"/>
      <c r="E66" s="164"/>
      <c r="F66" s="544"/>
      <c r="G66" s="194">
        <f t="shared" si="10"/>
        <v>0</v>
      </c>
      <c r="H66" s="218"/>
      <c r="I66" s="218"/>
      <c r="J66" s="218"/>
      <c r="K66" s="164">
        <f t="shared" si="9"/>
        <v>0</v>
      </c>
      <c r="L66" s="364"/>
      <c r="M66" s="302"/>
      <c r="N66" s="208"/>
      <c r="O66" s="59"/>
      <c r="P66" s="67">
        <f t="shared" si="11"/>
        <v>0</v>
      </c>
      <c r="Q66" s="9"/>
      <c r="R66" s="9"/>
      <c r="S66" s="12">
        <v>0</v>
      </c>
      <c r="T66" s="44">
        <v>0</v>
      </c>
      <c r="U66" s="44">
        <v>274.51</v>
      </c>
    </row>
    <row r="67" spans="1:23" ht="14.45" hidden="1" customHeight="1" x14ac:dyDescent="0.25">
      <c r="A67" s="148" t="s">
        <v>61</v>
      </c>
      <c r="B67" s="544"/>
      <c r="C67" s="558"/>
      <c r="D67" s="164"/>
      <c r="E67" s="164"/>
      <c r="F67" s="544"/>
      <c r="G67" s="194">
        <f t="shared" si="10"/>
        <v>0</v>
      </c>
      <c r="H67" s="218"/>
      <c r="I67" s="218"/>
      <c r="J67" s="218"/>
      <c r="K67" s="164">
        <f t="shared" si="9"/>
        <v>0</v>
      </c>
      <c r="L67" s="364"/>
      <c r="M67" s="302"/>
      <c r="N67" s="208"/>
      <c r="O67" s="59"/>
      <c r="P67" s="67">
        <f t="shared" si="11"/>
        <v>0</v>
      </c>
      <c r="Q67" s="9"/>
      <c r="R67" s="9"/>
      <c r="S67" s="12">
        <v>0</v>
      </c>
      <c r="T67" s="44">
        <v>0</v>
      </c>
      <c r="U67" s="44">
        <v>682.12</v>
      </c>
    </row>
    <row r="68" spans="1:23" ht="14.45" customHeight="1" x14ac:dyDescent="0.25">
      <c r="A68" s="148" t="s">
        <v>62</v>
      </c>
      <c r="B68" s="544"/>
      <c r="C68" s="558"/>
      <c r="D68" s="164">
        <v>0</v>
      </c>
      <c r="E68" s="164"/>
      <c r="F68" s="544">
        <v>10200</v>
      </c>
      <c r="G68" s="194">
        <f t="shared" si="10"/>
        <v>10200</v>
      </c>
      <c r="H68" s="218"/>
      <c r="I68" s="218"/>
      <c r="J68" s="218"/>
      <c r="K68" s="164">
        <f t="shared" si="9"/>
        <v>9200</v>
      </c>
      <c r="L68" s="364"/>
      <c r="M68" s="302">
        <v>1000</v>
      </c>
      <c r="N68" s="208"/>
      <c r="O68" s="59"/>
      <c r="P68" s="67">
        <f t="shared" si="11"/>
        <v>1000</v>
      </c>
      <c r="Q68" s="9"/>
      <c r="R68" s="9"/>
      <c r="S68" s="12">
        <v>7923</v>
      </c>
      <c r="T68" s="44">
        <v>2500</v>
      </c>
      <c r="U68" s="44">
        <v>1510.29</v>
      </c>
    </row>
    <row r="69" spans="1:23" ht="14.45" customHeight="1" x14ac:dyDescent="0.25">
      <c r="A69" s="148" t="s">
        <v>63</v>
      </c>
      <c r="B69" s="544"/>
      <c r="C69" s="558"/>
      <c r="D69" s="164">
        <v>0</v>
      </c>
      <c r="E69" s="164"/>
      <c r="F69" s="544">
        <v>4600</v>
      </c>
      <c r="G69" s="194">
        <f t="shared" si="10"/>
        <v>4600</v>
      </c>
      <c r="H69" s="218"/>
      <c r="I69" s="218"/>
      <c r="J69" s="218"/>
      <c r="K69" s="164">
        <f t="shared" si="9"/>
        <v>3600</v>
      </c>
      <c r="L69" s="364"/>
      <c r="M69" s="302">
        <v>1000</v>
      </c>
      <c r="N69" s="208"/>
      <c r="O69" s="357">
        <v>0</v>
      </c>
      <c r="P69" s="67">
        <f t="shared" si="11"/>
        <v>1000</v>
      </c>
      <c r="Q69" s="9"/>
      <c r="R69" s="9"/>
      <c r="S69" s="12">
        <v>0</v>
      </c>
      <c r="T69" s="44">
        <v>1500</v>
      </c>
      <c r="U69" s="44">
        <v>718.24</v>
      </c>
    </row>
    <row r="70" spans="1:23" ht="14.45" customHeight="1" x14ac:dyDescent="0.25">
      <c r="A70" s="148" t="s">
        <v>64</v>
      </c>
      <c r="B70" s="544"/>
      <c r="C70" s="558"/>
      <c r="D70" s="164">
        <v>0</v>
      </c>
      <c r="E70" s="164"/>
      <c r="F70" s="544">
        <v>4000</v>
      </c>
      <c r="G70" s="194">
        <f t="shared" si="10"/>
        <v>4000</v>
      </c>
      <c r="H70" s="218"/>
      <c r="I70" s="218"/>
      <c r="J70" s="218"/>
      <c r="K70" s="164">
        <f t="shared" si="9"/>
        <v>3000</v>
      </c>
      <c r="L70" s="364"/>
      <c r="M70" s="302">
        <v>1000</v>
      </c>
      <c r="N70" s="208"/>
      <c r="O70" s="357">
        <v>0</v>
      </c>
      <c r="P70" s="67">
        <f t="shared" si="11"/>
        <v>1000</v>
      </c>
      <c r="Q70" s="9"/>
      <c r="R70" s="9"/>
      <c r="S70" s="12">
        <v>0</v>
      </c>
      <c r="T70" s="44">
        <v>1000</v>
      </c>
      <c r="U70" s="44">
        <v>187.2</v>
      </c>
    </row>
    <row r="71" spans="1:23" ht="14.45" customHeight="1" x14ac:dyDescent="0.25">
      <c r="A71" s="148" t="s">
        <v>65</v>
      </c>
      <c r="B71" s="544"/>
      <c r="C71" s="558"/>
      <c r="D71" s="164">
        <v>0</v>
      </c>
      <c r="E71" s="164"/>
      <c r="F71" s="544">
        <v>22300</v>
      </c>
      <c r="G71" s="194">
        <f t="shared" si="10"/>
        <v>22300</v>
      </c>
      <c r="H71" s="218"/>
      <c r="I71" s="218"/>
      <c r="J71" s="218"/>
      <c r="K71" s="164">
        <f t="shared" si="9"/>
        <v>7300</v>
      </c>
      <c r="L71" s="364"/>
      <c r="M71" s="302">
        <v>15000</v>
      </c>
      <c r="N71" s="208"/>
      <c r="O71" s="357">
        <v>0</v>
      </c>
      <c r="P71" s="67">
        <f t="shared" si="11"/>
        <v>15000</v>
      </c>
      <c r="Q71" s="9"/>
      <c r="R71" s="9"/>
      <c r="S71" s="12">
        <v>15000</v>
      </c>
      <c r="T71" s="44">
        <v>15000</v>
      </c>
      <c r="U71" s="44">
        <v>4860.83</v>
      </c>
    </row>
    <row r="72" spans="1:23" ht="14.45" customHeight="1" x14ac:dyDescent="0.25">
      <c r="A72" s="148" t="s">
        <v>66</v>
      </c>
      <c r="B72" s="544"/>
      <c r="C72" s="558"/>
      <c r="D72" s="164">
        <v>0</v>
      </c>
      <c r="E72" s="164"/>
      <c r="F72" s="544">
        <v>900</v>
      </c>
      <c r="G72" s="194">
        <f>+F72+E72+D72</f>
        <v>900</v>
      </c>
      <c r="H72" s="218"/>
      <c r="I72" s="218"/>
      <c r="J72" s="218"/>
      <c r="K72" s="164">
        <f t="shared" si="9"/>
        <v>-3100</v>
      </c>
      <c r="L72" s="364"/>
      <c r="M72" s="302">
        <v>4000</v>
      </c>
      <c r="N72" s="208"/>
      <c r="O72" s="59"/>
      <c r="P72" s="67">
        <f t="shared" si="11"/>
        <v>4000</v>
      </c>
      <c r="Q72" s="9"/>
      <c r="R72" s="9"/>
      <c r="S72" s="12">
        <v>5000</v>
      </c>
      <c r="T72" s="44">
        <v>8000</v>
      </c>
      <c r="U72" s="44">
        <v>4571.99</v>
      </c>
    </row>
    <row r="73" spans="1:23" ht="14.45" customHeight="1" x14ac:dyDescent="0.25">
      <c r="A73" s="148" t="s">
        <v>67</v>
      </c>
      <c r="B73" s="544"/>
      <c r="C73" s="558"/>
      <c r="D73" s="164"/>
      <c r="E73" s="164"/>
      <c r="F73" s="544">
        <v>1000</v>
      </c>
      <c r="G73" s="194">
        <f>+F73+E73+D73</f>
        <v>1000</v>
      </c>
      <c r="H73" s="218"/>
      <c r="I73" s="218"/>
      <c r="J73" s="218"/>
      <c r="K73" s="164">
        <f t="shared" si="9"/>
        <v>1000</v>
      </c>
      <c r="L73" s="364"/>
      <c r="M73" s="302"/>
      <c r="N73" s="208"/>
      <c r="O73" s="59"/>
      <c r="P73" s="67">
        <f t="shared" si="11"/>
        <v>0</v>
      </c>
      <c r="Q73" s="9"/>
      <c r="R73" s="9"/>
      <c r="S73" s="12">
        <v>0</v>
      </c>
      <c r="T73" s="44">
        <v>0</v>
      </c>
      <c r="U73" s="44">
        <v>211.76</v>
      </c>
    </row>
    <row r="74" spans="1:23" ht="14.45" customHeight="1" x14ac:dyDescent="0.25">
      <c r="A74" s="148" t="s">
        <v>68</v>
      </c>
      <c r="B74" s="544"/>
      <c r="C74" s="558"/>
      <c r="D74" s="164">
        <v>0</v>
      </c>
      <c r="E74" s="164"/>
      <c r="F74" s="544">
        <v>4200</v>
      </c>
      <c r="G74" s="194">
        <f>+F74+E74+D74</f>
        <v>4200</v>
      </c>
      <c r="H74" s="218"/>
      <c r="I74" s="218"/>
      <c r="J74" s="218"/>
      <c r="K74" s="164">
        <f t="shared" si="9"/>
        <v>-800</v>
      </c>
      <c r="L74" s="364"/>
      <c r="M74" s="302">
        <v>5000</v>
      </c>
      <c r="N74" s="208"/>
      <c r="O74" s="59"/>
      <c r="P74" s="67">
        <f t="shared" si="11"/>
        <v>5000</v>
      </c>
      <c r="Q74" s="9"/>
      <c r="R74" s="9"/>
      <c r="S74" s="12">
        <v>5000</v>
      </c>
      <c r="T74" s="44">
        <v>15000</v>
      </c>
      <c r="U74" s="44">
        <v>2850</v>
      </c>
    </row>
    <row r="75" spans="1:23" ht="14.45" customHeight="1" x14ac:dyDescent="0.25">
      <c r="A75" s="148" t="s">
        <v>69</v>
      </c>
      <c r="B75" s="544"/>
      <c r="C75" s="558"/>
      <c r="D75" s="164">
        <v>0</v>
      </c>
      <c r="E75" s="164"/>
      <c r="F75" s="544">
        <v>26490</v>
      </c>
      <c r="G75" s="194">
        <f>+F75+E75+D75</f>
        <v>26490</v>
      </c>
      <c r="H75" s="218"/>
      <c r="I75" s="218"/>
      <c r="J75" s="218"/>
      <c r="K75" s="164">
        <f t="shared" si="9"/>
        <v>8490</v>
      </c>
      <c r="L75" s="364"/>
      <c r="M75" s="302">
        <v>18000</v>
      </c>
      <c r="N75" s="208"/>
      <c r="O75" s="59"/>
      <c r="P75" s="67">
        <f t="shared" si="11"/>
        <v>18000</v>
      </c>
      <c r="Q75" s="9"/>
      <c r="R75" s="9"/>
      <c r="S75" s="12">
        <v>19460</v>
      </c>
      <c r="T75" s="44">
        <v>11460</v>
      </c>
      <c r="U75" s="44">
        <v>1600.08</v>
      </c>
    </row>
    <row r="76" spans="1:23" ht="14.45" customHeight="1" x14ac:dyDescent="0.25">
      <c r="A76" s="148" t="s">
        <v>70</v>
      </c>
      <c r="B76" s="544"/>
      <c r="C76" s="558"/>
      <c r="D76" s="164">
        <v>0</v>
      </c>
      <c r="E76" s="164"/>
      <c r="F76" s="544">
        <v>540</v>
      </c>
      <c r="G76" s="194">
        <f>+F76+E76+D76</f>
        <v>540</v>
      </c>
      <c r="H76" s="218"/>
      <c r="I76" s="218"/>
      <c r="J76" s="218"/>
      <c r="K76" s="164">
        <f t="shared" si="9"/>
        <v>0</v>
      </c>
      <c r="L76" s="364"/>
      <c r="M76" s="302">
        <v>540</v>
      </c>
      <c r="N76" s="208"/>
      <c r="O76" s="59"/>
      <c r="P76" s="67">
        <f t="shared" si="11"/>
        <v>540</v>
      </c>
      <c r="Q76" s="9"/>
      <c r="R76" s="9"/>
      <c r="S76" s="12">
        <v>540</v>
      </c>
      <c r="T76" s="44">
        <v>540</v>
      </c>
      <c r="U76" s="44">
        <v>540.02</v>
      </c>
    </row>
    <row r="77" spans="1:23" ht="14.45" customHeight="1" x14ac:dyDescent="0.25">
      <c r="A77" s="607" t="s">
        <v>71</v>
      </c>
      <c r="B77" s="544"/>
      <c r="C77" s="293"/>
      <c r="D77" s="188">
        <f>SUM(D60:D76)</f>
        <v>40793.4</v>
      </c>
      <c r="E77" s="272">
        <f>SUM(E60:E76)</f>
        <v>0</v>
      </c>
      <c r="F77" s="606">
        <f>SUM(F60:F76)</f>
        <v>345460.00320000004</v>
      </c>
      <c r="G77" s="188">
        <f>SUM(G60:G76)</f>
        <v>386253.40320000006</v>
      </c>
      <c r="H77" s="224"/>
      <c r="I77" s="224"/>
      <c r="J77" s="224"/>
      <c r="K77" s="224">
        <f>SUM(K60:K76)</f>
        <v>27351.403200000001</v>
      </c>
      <c r="L77" s="364"/>
      <c r="M77" s="304">
        <f>SUM(M60:M76)</f>
        <v>119421</v>
      </c>
      <c r="N77" s="205">
        <f>SUM(N60:N76)</f>
        <v>0</v>
      </c>
      <c r="O77" s="46">
        <f>SUM(O60:O76)</f>
        <v>239481</v>
      </c>
      <c r="P77" s="45">
        <f>SUM(M77:O77)</f>
        <v>358902</v>
      </c>
      <c r="Q77" s="60">
        <f>P77/P49</f>
        <v>5.4339900314318762E-2</v>
      </c>
      <c r="R77" s="48">
        <f>P77-S77</f>
        <v>60909</v>
      </c>
      <c r="S77" s="32">
        <v>297993</v>
      </c>
      <c r="T77" s="49">
        <v>296500</v>
      </c>
      <c r="U77" s="49">
        <v>260614.27</v>
      </c>
    </row>
    <row r="78" spans="1:23" ht="15" customHeight="1" x14ac:dyDescent="0.25">
      <c r="A78" s="61"/>
      <c r="B78" s="65"/>
      <c r="C78" s="559"/>
      <c r="D78" s="177"/>
      <c r="E78" s="177"/>
      <c r="F78" s="177"/>
      <c r="G78" s="177"/>
      <c r="H78" s="233"/>
      <c r="I78" s="233"/>
      <c r="J78" s="233"/>
      <c r="K78" s="233"/>
      <c r="L78" s="325"/>
      <c r="M78" s="62"/>
      <c r="N78" s="63"/>
      <c r="O78" s="63"/>
      <c r="P78" s="62"/>
      <c r="Q78" s="62"/>
      <c r="R78" s="64"/>
      <c r="S78" s="65"/>
      <c r="T78" s="62"/>
      <c r="U78" s="65"/>
    </row>
    <row r="79" spans="1:23" ht="44.25" customHeight="1" x14ac:dyDescent="0.25">
      <c r="A79" s="146" t="s">
        <v>72</v>
      </c>
      <c r="B79" s="359"/>
      <c r="C79" s="359"/>
      <c r="D79" s="359"/>
      <c r="E79" s="146"/>
      <c r="F79" s="146"/>
      <c r="G79" s="146"/>
      <c r="H79" s="146"/>
      <c r="I79" s="146"/>
      <c r="J79" s="146"/>
      <c r="K79" s="146"/>
      <c r="L79" s="326"/>
      <c r="M79" s="301"/>
      <c r="N79" s="146"/>
      <c r="O79" s="146"/>
      <c r="P79" s="52"/>
      <c r="Q79" s="52"/>
      <c r="R79" s="147"/>
      <c r="S79" s="147"/>
      <c r="T79" s="54"/>
      <c r="U79" s="66"/>
    </row>
    <row r="80" spans="1:23" ht="18.75" customHeight="1" x14ac:dyDescent="0.25">
      <c r="A80" s="549" t="s">
        <v>73</v>
      </c>
      <c r="B80" s="549"/>
      <c r="C80" s="549"/>
      <c r="D80" s="620">
        <f>+M80*V80</f>
        <v>427116.28</v>
      </c>
      <c r="E80" s="264"/>
      <c r="F80" s="264"/>
      <c r="G80" s="621">
        <f t="shared" ref="G80:G99" si="12">+F80+E80+D80</f>
        <v>427116.28</v>
      </c>
      <c r="H80" s="265"/>
      <c r="I80" s="265"/>
      <c r="J80" s="265"/>
      <c r="K80" s="264">
        <f t="shared" ref="K80:K99" si="13">+G80-P80</f>
        <v>12440.280000000028</v>
      </c>
      <c r="L80" s="378"/>
      <c r="M80" s="267">
        <v>414676</v>
      </c>
      <c r="N80" s="315"/>
      <c r="O80" s="266"/>
      <c r="P80" s="24">
        <f>M80+N80+O80</f>
        <v>414676</v>
      </c>
      <c r="Q80" s="266"/>
      <c r="R80" s="266"/>
      <c r="S80" s="268">
        <v>400840</v>
      </c>
      <c r="T80" s="269">
        <v>312866</v>
      </c>
      <c r="U80" s="269">
        <v>303615.15999999997</v>
      </c>
      <c r="V80" s="3">
        <v>1.03</v>
      </c>
      <c r="W80" s="498" t="s">
        <v>544</v>
      </c>
    </row>
    <row r="81" spans="1:23" ht="15" hidden="1" customHeight="1" x14ac:dyDescent="0.25">
      <c r="A81" s="148" t="s">
        <v>74</v>
      </c>
      <c r="B81" s="148"/>
      <c r="C81" s="148"/>
      <c r="D81" s="360"/>
      <c r="E81" s="164"/>
      <c r="F81" s="164"/>
      <c r="G81" s="197">
        <f t="shared" si="12"/>
        <v>0</v>
      </c>
      <c r="H81" s="218"/>
      <c r="I81" s="218"/>
      <c r="J81" s="218"/>
      <c r="K81" s="164">
        <f t="shared" si="13"/>
        <v>0</v>
      </c>
      <c r="L81" s="364"/>
      <c r="M81" s="105"/>
      <c r="N81" s="105"/>
      <c r="O81" s="67"/>
      <c r="P81" s="67">
        <f t="shared" ref="P81:P99" si="14">M81+N81+O81</f>
        <v>0</v>
      </c>
      <c r="Q81" s="9"/>
      <c r="R81" s="9"/>
      <c r="S81" s="12">
        <v>0</v>
      </c>
      <c r="T81" s="44">
        <v>15000</v>
      </c>
      <c r="U81" s="44">
        <v>15000</v>
      </c>
    </row>
    <row r="82" spans="1:23" ht="14.45" customHeight="1" x14ac:dyDescent="0.25">
      <c r="A82" s="148" t="s">
        <v>75</v>
      </c>
      <c r="B82" s="148"/>
      <c r="C82" s="148"/>
      <c r="D82" s="360">
        <f>+M82*V80</f>
        <v>17129.93</v>
      </c>
      <c r="E82" s="164"/>
      <c r="F82" s="164"/>
      <c r="G82" s="197">
        <f t="shared" si="12"/>
        <v>17129.93</v>
      </c>
      <c r="H82" s="218"/>
      <c r="I82" s="218"/>
      <c r="J82" s="218"/>
      <c r="K82" s="164">
        <f t="shared" si="13"/>
        <v>498.93000000000029</v>
      </c>
      <c r="L82" s="364"/>
      <c r="M82" s="204">
        <v>16631</v>
      </c>
      <c r="N82" s="105"/>
      <c r="O82" s="9"/>
      <c r="P82" s="67">
        <f t="shared" si="14"/>
        <v>16631</v>
      </c>
      <c r="Q82" s="9"/>
      <c r="R82" s="9"/>
      <c r="S82" s="12">
        <v>16065</v>
      </c>
      <c r="T82" s="44">
        <v>11608</v>
      </c>
      <c r="U82" s="44">
        <v>9470.2099999999991</v>
      </c>
    </row>
    <row r="83" spans="1:23" ht="14.45" hidden="1" customHeight="1" x14ac:dyDescent="0.25">
      <c r="A83" s="148" t="s">
        <v>76</v>
      </c>
      <c r="B83" s="148"/>
      <c r="C83" s="148"/>
      <c r="D83" s="360"/>
      <c r="E83" s="164"/>
      <c r="F83" s="164"/>
      <c r="G83" s="197">
        <f t="shared" si="12"/>
        <v>0</v>
      </c>
      <c r="H83" s="218"/>
      <c r="I83" s="218"/>
      <c r="J83" s="218"/>
      <c r="K83" s="164">
        <f t="shared" si="13"/>
        <v>0</v>
      </c>
      <c r="L83" s="364"/>
      <c r="M83" s="105"/>
      <c r="N83" s="105"/>
      <c r="O83" s="9"/>
      <c r="P83" s="67">
        <f t="shared" si="14"/>
        <v>0</v>
      </c>
      <c r="Q83" s="9"/>
      <c r="R83" s="9"/>
      <c r="S83" s="12">
        <v>0</v>
      </c>
      <c r="T83" s="44">
        <v>12852</v>
      </c>
      <c r="U83" s="44">
        <v>11842.74</v>
      </c>
    </row>
    <row r="84" spans="1:23" ht="14.45" customHeight="1" x14ac:dyDescent="0.25">
      <c r="A84" s="148" t="s">
        <v>55</v>
      </c>
      <c r="B84" s="148"/>
      <c r="C84" s="148"/>
      <c r="D84" s="360">
        <f>+M84*V84</f>
        <v>58383.467999999993</v>
      </c>
      <c r="E84" s="164"/>
      <c r="F84" s="164"/>
      <c r="G84" s="197">
        <f t="shared" si="12"/>
        <v>58383.467999999993</v>
      </c>
      <c r="H84" s="218"/>
      <c r="I84" s="218"/>
      <c r="J84" s="218"/>
      <c r="K84" s="164">
        <f t="shared" si="13"/>
        <v>1755.4679999999935</v>
      </c>
      <c r="L84" s="364"/>
      <c r="M84" s="204">
        <v>56628</v>
      </c>
      <c r="N84" s="105"/>
      <c r="O84" s="9"/>
      <c r="P84" s="67">
        <f t="shared" si="14"/>
        <v>56628</v>
      </c>
      <c r="Q84" s="9"/>
      <c r="R84" s="9"/>
      <c r="S84" s="12">
        <v>30126</v>
      </c>
      <c r="T84" s="44">
        <v>66625</v>
      </c>
      <c r="U84" s="44">
        <v>41565</v>
      </c>
      <c r="V84" s="3">
        <v>1.0309999999999999</v>
      </c>
      <c r="W84" s="343" t="s">
        <v>521</v>
      </c>
    </row>
    <row r="85" spans="1:23" ht="14.45" customHeight="1" x14ac:dyDescent="0.25">
      <c r="A85" s="148" t="s">
        <v>56</v>
      </c>
      <c r="B85" s="148"/>
      <c r="C85" s="148"/>
      <c r="D85" s="360">
        <f>+M85*V$80</f>
        <v>8240</v>
      </c>
      <c r="E85" s="164"/>
      <c r="F85" s="164"/>
      <c r="G85" s="197">
        <f t="shared" si="12"/>
        <v>8240</v>
      </c>
      <c r="H85" s="218"/>
      <c r="I85" s="218"/>
      <c r="J85" s="218"/>
      <c r="K85" s="164">
        <f t="shared" si="13"/>
        <v>240</v>
      </c>
      <c r="L85" s="364"/>
      <c r="M85" s="204">
        <v>8000</v>
      </c>
      <c r="N85" s="105"/>
      <c r="O85" s="9"/>
      <c r="P85" s="67">
        <f t="shared" si="14"/>
        <v>8000</v>
      </c>
      <c r="Q85" s="9"/>
      <c r="R85" s="9"/>
      <c r="S85" s="12">
        <v>6000</v>
      </c>
      <c r="T85" s="44">
        <v>8000</v>
      </c>
      <c r="U85" s="44">
        <v>5269.34</v>
      </c>
    </row>
    <row r="86" spans="1:23" ht="14.45" customHeight="1" x14ac:dyDescent="0.25">
      <c r="A86" s="148" t="s">
        <v>57</v>
      </c>
      <c r="B86" s="148"/>
      <c r="C86" s="148"/>
      <c r="D86" s="360">
        <f>+M86*V$80</f>
        <v>1430.67</v>
      </c>
      <c r="E86" s="164"/>
      <c r="F86" s="164"/>
      <c r="G86" s="197">
        <f t="shared" si="12"/>
        <v>1430.67</v>
      </c>
      <c r="H86" s="218"/>
      <c r="I86" s="218"/>
      <c r="J86" s="218"/>
      <c r="K86" s="164">
        <f t="shared" si="13"/>
        <v>41.670000000000073</v>
      </c>
      <c r="L86" s="364"/>
      <c r="M86" s="204">
        <v>1389</v>
      </c>
      <c r="N86" s="105"/>
      <c r="O86" s="9"/>
      <c r="P86" s="67">
        <f t="shared" si="14"/>
        <v>1389</v>
      </c>
      <c r="Q86" s="9"/>
      <c r="R86" s="9"/>
      <c r="S86" s="12">
        <v>1368</v>
      </c>
      <c r="T86" s="44">
        <v>0</v>
      </c>
      <c r="U86" s="44">
        <v>935.25</v>
      </c>
    </row>
    <row r="87" spans="1:23" ht="14.45" hidden="1" customHeight="1" x14ac:dyDescent="0.25">
      <c r="A87" s="148" t="s">
        <v>77</v>
      </c>
      <c r="B87" s="148"/>
      <c r="C87" s="148"/>
      <c r="D87" s="360"/>
      <c r="E87" s="164"/>
      <c r="F87" s="164"/>
      <c r="G87" s="197">
        <f t="shared" si="12"/>
        <v>0</v>
      </c>
      <c r="H87" s="218"/>
      <c r="I87" s="218"/>
      <c r="J87" s="218"/>
      <c r="K87" s="164">
        <f t="shared" si="13"/>
        <v>0</v>
      </c>
      <c r="L87" s="364"/>
      <c r="M87" s="105"/>
      <c r="N87" s="105"/>
      <c r="O87" s="9"/>
      <c r="P87" s="67">
        <f t="shared" si="14"/>
        <v>0</v>
      </c>
      <c r="Q87" s="9"/>
      <c r="R87" s="9"/>
      <c r="S87" s="12">
        <v>0</v>
      </c>
      <c r="T87" s="44">
        <v>22460</v>
      </c>
      <c r="U87" s="44">
        <v>0</v>
      </c>
    </row>
    <row r="88" spans="1:23" ht="14.45" customHeight="1" x14ac:dyDescent="0.25">
      <c r="A88" s="148" t="s">
        <v>59</v>
      </c>
      <c r="B88" s="148"/>
      <c r="C88" s="148"/>
      <c r="D88" s="360">
        <f>+M88*V$80</f>
        <v>33177.33</v>
      </c>
      <c r="E88" s="164"/>
      <c r="F88" s="164"/>
      <c r="G88" s="197">
        <f t="shared" si="12"/>
        <v>33177.33</v>
      </c>
      <c r="H88" s="218"/>
      <c r="I88" s="218"/>
      <c r="J88" s="218"/>
      <c r="K88" s="164">
        <f t="shared" si="13"/>
        <v>966.33000000000175</v>
      </c>
      <c r="L88" s="364"/>
      <c r="M88" s="204">
        <v>32211</v>
      </c>
      <c r="N88" s="105"/>
      <c r="O88" s="9"/>
      <c r="P88" s="67">
        <f t="shared" si="14"/>
        <v>32211</v>
      </c>
      <c r="Q88" s="9"/>
      <c r="R88" s="9"/>
      <c r="S88" s="12">
        <v>18073</v>
      </c>
      <c r="T88" s="44">
        <v>13656</v>
      </c>
      <c r="U88" s="44">
        <v>11353.86</v>
      </c>
      <c r="W88" s="285">
        <f>+P88/P80</f>
        <v>7.7677512081721634E-2</v>
      </c>
    </row>
    <row r="89" spans="1:23" ht="14.45" hidden="1" customHeight="1" x14ac:dyDescent="0.25">
      <c r="A89" s="148" t="s">
        <v>60</v>
      </c>
      <c r="B89" s="148"/>
      <c r="C89" s="148"/>
      <c r="D89" s="360"/>
      <c r="E89" s="164"/>
      <c r="F89" s="164"/>
      <c r="G89" s="197">
        <f t="shared" si="12"/>
        <v>0</v>
      </c>
      <c r="H89" s="218"/>
      <c r="I89" s="218"/>
      <c r="J89" s="218"/>
      <c r="K89" s="164">
        <f t="shared" si="13"/>
        <v>0</v>
      </c>
      <c r="L89" s="364"/>
      <c r="M89" s="105"/>
      <c r="N89" s="105"/>
      <c r="O89" s="9"/>
      <c r="P89" s="67">
        <f t="shared" si="14"/>
        <v>0</v>
      </c>
      <c r="Q89" s="9"/>
      <c r="R89" s="9"/>
      <c r="S89" s="12">
        <v>0</v>
      </c>
      <c r="T89" s="44">
        <v>763</v>
      </c>
      <c r="U89" s="44">
        <v>1092.5899999999999</v>
      </c>
    </row>
    <row r="90" spans="1:23" ht="14.45" hidden="1" customHeight="1" x14ac:dyDescent="0.25">
      <c r="A90" s="148" t="s">
        <v>61</v>
      </c>
      <c r="B90" s="148"/>
      <c r="C90" s="148"/>
      <c r="D90" s="360"/>
      <c r="E90" s="164"/>
      <c r="F90" s="164"/>
      <c r="G90" s="197">
        <f t="shared" si="12"/>
        <v>0</v>
      </c>
      <c r="H90" s="218"/>
      <c r="I90" s="218"/>
      <c r="J90" s="218"/>
      <c r="K90" s="164">
        <f t="shared" si="13"/>
        <v>0</v>
      </c>
      <c r="L90" s="364"/>
      <c r="M90" s="105"/>
      <c r="N90" s="105"/>
      <c r="O90" s="9"/>
      <c r="P90" s="67">
        <f t="shared" si="14"/>
        <v>0</v>
      </c>
      <c r="Q90" s="9"/>
      <c r="R90" s="9"/>
      <c r="S90" s="12">
        <v>0</v>
      </c>
      <c r="T90" s="44">
        <v>0</v>
      </c>
      <c r="U90" s="44">
        <v>344.95</v>
      </c>
    </row>
    <row r="91" spans="1:23" ht="14.45" customHeight="1" x14ac:dyDescent="0.25">
      <c r="A91" s="148" t="s">
        <v>62</v>
      </c>
      <c r="B91" s="148"/>
      <c r="C91" s="148"/>
      <c r="D91" s="361">
        <v>1000</v>
      </c>
      <c r="E91" s="164"/>
      <c r="F91" s="164"/>
      <c r="G91" s="197">
        <f t="shared" si="12"/>
        <v>1000</v>
      </c>
      <c r="H91" s="218"/>
      <c r="I91" s="218"/>
      <c r="J91" s="218"/>
      <c r="K91" s="164">
        <f t="shared" si="13"/>
        <v>0</v>
      </c>
      <c r="L91" s="364"/>
      <c r="M91" s="204">
        <v>1000</v>
      </c>
      <c r="N91" s="105"/>
      <c r="O91" s="9"/>
      <c r="P91" s="67">
        <f t="shared" si="14"/>
        <v>1000</v>
      </c>
      <c r="Q91" s="9"/>
      <c r="R91" s="9"/>
      <c r="S91" s="12">
        <v>1000</v>
      </c>
      <c r="T91" s="44">
        <v>1000</v>
      </c>
      <c r="U91" s="44">
        <v>931.38</v>
      </c>
    </row>
    <row r="92" spans="1:23" ht="14.45" customHeight="1" x14ac:dyDescent="0.25">
      <c r="A92" s="148" t="s">
        <v>63</v>
      </c>
      <c r="B92" s="148"/>
      <c r="C92" s="148"/>
      <c r="D92" s="361">
        <v>1000</v>
      </c>
      <c r="E92" s="164"/>
      <c r="F92" s="164"/>
      <c r="G92" s="197">
        <f t="shared" si="12"/>
        <v>1000</v>
      </c>
      <c r="H92" s="218"/>
      <c r="I92" s="218"/>
      <c r="J92" s="218"/>
      <c r="K92" s="164">
        <f t="shared" si="13"/>
        <v>0</v>
      </c>
      <c r="L92" s="364"/>
      <c r="M92" s="204">
        <v>1000</v>
      </c>
      <c r="N92" s="105"/>
      <c r="O92" s="9"/>
      <c r="P92" s="67">
        <f t="shared" si="14"/>
        <v>1000</v>
      </c>
      <c r="Q92" s="9"/>
      <c r="R92" s="9"/>
      <c r="S92" s="12">
        <v>1000</v>
      </c>
      <c r="T92" s="44">
        <v>0</v>
      </c>
      <c r="U92" s="44">
        <v>0</v>
      </c>
    </row>
    <row r="93" spans="1:23" ht="14.45" customHeight="1" x14ac:dyDescent="0.25">
      <c r="A93" s="148" t="s">
        <v>64</v>
      </c>
      <c r="B93" s="148"/>
      <c r="C93" s="148"/>
      <c r="D93" s="361">
        <v>1500</v>
      </c>
      <c r="E93" s="164"/>
      <c r="F93" s="164"/>
      <c r="G93" s="197">
        <f t="shared" si="12"/>
        <v>1500</v>
      </c>
      <c r="H93" s="218"/>
      <c r="I93" s="218"/>
      <c r="J93" s="218"/>
      <c r="K93" s="164">
        <f t="shared" si="13"/>
        <v>0</v>
      </c>
      <c r="L93" s="364"/>
      <c r="M93" s="204">
        <v>1500</v>
      </c>
      <c r="N93" s="105"/>
      <c r="O93" s="9"/>
      <c r="P93" s="67">
        <f t="shared" si="14"/>
        <v>1500</v>
      </c>
      <c r="Q93" s="9"/>
      <c r="R93" s="9"/>
      <c r="S93" s="12">
        <v>1500</v>
      </c>
      <c r="T93" s="44">
        <v>2210</v>
      </c>
      <c r="U93" s="44">
        <v>2446.33</v>
      </c>
    </row>
    <row r="94" spans="1:23" ht="14.45" customHeight="1" x14ac:dyDescent="0.25">
      <c r="A94" s="148" t="s">
        <v>65</v>
      </c>
      <c r="B94" s="148"/>
      <c r="C94" s="148"/>
      <c r="D94" s="361">
        <v>12800</v>
      </c>
      <c r="E94" s="164"/>
      <c r="F94" s="164"/>
      <c r="G94" s="197">
        <f t="shared" si="12"/>
        <v>12800</v>
      </c>
      <c r="H94" s="218"/>
      <c r="I94" s="218"/>
      <c r="J94" s="218"/>
      <c r="K94" s="164">
        <f t="shared" si="13"/>
        <v>0</v>
      </c>
      <c r="L94" s="364"/>
      <c r="M94" s="204">
        <v>12800</v>
      </c>
      <c r="N94" s="105"/>
      <c r="O94" s="9"/>
      <c r="P94" s="67">
        <f t="shared" si="14"/>
        <v>12800</v>
      </c>
      <c r="Q94" s="9"/>
      <c r="R94" s="9"/>
      <c r="S94" s="12">
        <v>12800</v>
      </c>
      <c r="T94" s="44">
        <v>15000</v>
      </c>
      <c r="U94" s="44">
        <v>13452.43</v>
      </c>
    </row>
    <row r="95" spans="1:23" ht="14.45" customHeight="1" x14ac:dyDescent="0.25">
      <c r="A95" s="148" t="s">
        <v>78</v>
      </c>
      <c r="B95" s="148"/>
      <c r="C95" s="148"/>
      <c r="D95" s="362">
        <v>350</v>
      </c>
      <c r="E95" s="164"/>
      <c r="F95" s="164"/>
      <c r="G95" s="197">
        <f t="shared" si="12"/>
        <v>350</v>
      </c>
      <c r="H95" s="218"/>
      <c r="I95" s="218"/>
      <c r="J95" s="218"/>
      <c r="K95" s="164">
        <f t="shared" si="13"/>
        <v>0</v>
      </c>
      <c r="L95" s="364"/>
      <c r="M95" s="105">
        <v>350</v>
      </c>
      <c r="N95" s="105"/>
      <c r="O95" s="9"/>
      <c r="P95" s="67">
        <f t="shared" si="14"/>
        <v>350</v>
      </c>
      <c r="Q95" s="9"/>
      <c r="R95" s="9"/>
      <c r="S95" s="12">
        <v>250</v>
      </c>
      <c r="T95" s="44">
        <v>500</v>
      </c>
      <c r="U95" s="44">
        <v>206.74</v>
      </c>
    </row>
    <row r="96" spans="1:23" ht="14.45" hidden="1" customHeight="1" x14ac:dyDescent="0.25">
      <c r="A96" s="148" t="s">
        <v>66</v>
      </c>
      <c r="B96" s="148"/>
      <c r="C96" s="148"/>
      <c r="D96" s="362"/>
      <c r="E96" s="164"/>
      <c r="F96" s="164"/>
      <c r="G96" s="197">
        <f t="shared" si="12"/>
        <v>0</v>
      </c>
      <c r="H96" s="218"/>
      <c r="I96" s="218"/>
      <c r="J96" s="218"/>
      <c r="K96" s="164">
        <f t="shared" si="13"/>
        <v>0</v>
      </c>
      <c r="L96" s="364"/>
      <c r="M96" s="105"/>
      <c r="N96" s="105"/>
      <c r="O96" s="9"/>
      <c r="P96" s="67">
        <f t="shared" si="14"/>
        <v>0</v>
      </c>
      <c r="Q96" s="9"/>
      <c r="R96" s="9"/>
      <c r="S96" s="12">
        <v>0</v>
      </c>
      <c r="T96" s="44">
        <v>3000</v>
      </c>
      <c r="U96" s="44">
        <v>1071.55</v>
      </c>
    </row>
    <row r="97" spans="1:21" ht="14.45" customHeight="1" x14ac:dyDescent="0.25">
      <c r="A97" s="148" t="s">
        <v>67</v>
      </c>
      <c r="B97" s="148"/>
      <c r="C97" s="148"/>
      <c r="D97" s="362">
        <v>300</v>
      </c>
      <c r="E97" s="164"/>
      <c r="F97" s="164"/>
      <c r="G97" s="197">
        <f t="shared" si="12"/>
        <v>300</v>
      </c>
      <c r="H97" s="218"/>
      <c r="I97" s="218"/>
      <c r="J97" s="218"/>
      <c r="K97" s="164">
        <f t="shared" si="13"/>
        <v>0</v>
      </c>
      <c r="L97" s="364"/>
      <c r="M97" s="105">
        <v>300</v>
      </c>
      <c r="N97" s="105"/>
      <c r="O97" s="9"/>
      <c r="P97" s="67">
        <f t="shared" si="14"/>
        <v>300</v>
      </c>
      <c r="Q97" s="9"/>
      <c r="R97" s="9"/>
      <c r="S97" s="12">
        <v>300</v>
      </c>
      <c r="T97" s="44">
        <v>500</v>
      </c>
      <c r="U97" s="44">
        <v>429.16</v>
      </c>
    </row>
    <row r="98" spans="1:21" ht="14.45" customHeight="1" x14ac:dyDescent="0.25">
      <c r="A98" s="148" t="s">
        <v>79</v>
      </c>
      <c r="B98" s="148"/>
      <c r="C98" s="148"/>
      <c r="D98" s="362">
        <v>100</v>
      </c>
      <c r="E98" s="164"/>
      <c r="F98" s="164"/>
      <c r="G98" s="197">
        <f t="shared" si="12"/>
        <v>100</v>
      </c>
      <c r="H98" s="218"/>
      <c r="I98" s="218"/>
      <c r="J98" s="218"/>
      <c r="K98" s="164">
        <f t="shared" si="13"/>
        <v>0</v>
      </c>
      <c r="L98" s="364"/>
      <c r="M98" s="105">
        <v>100</v>
      </c>
      <c r="N98" s="105"/>
      <c r="O98" s="9"/>
      <c r="P98" s="67">
        <f t="shared" si="14"/>
        <v>100</v>
      </c>
      <c r="Q98" s="9"/>
      <c r="R98" s="9"/>
      <c r="S98" s="12">
        <v>100</v>
      </c>
      <c r="T98" s="44">
        <v>250</v>
      </c>
      <c r="U98" s="44">
        <v>24.65</v>
      </c>
    </row>
    <row r="99" spans="1:21" ht="14.45" customHeight="1" x14ac:dyDescent="0.25">
      <c r="A99" s="148" t="s">
        <v>70</v>
      </c>
      <c r="B99" s="148"/>
      <c r="C99" s="148"/>
      <c r="D99" s="362">
        <v>540</v>
      </c>
      <c r="E99" s="164"/>
      <c r="F99" s="164"/>
      <c r="G99" s="197">
        <f t="shared" si="12"/>
        <v>540</v>
      </c>
      <c r="H99" s="218"/>
      <c r="I99" s="218"/>
      <c r="J99" s="218"/>
      <c r="K99" s="164">
        <f t="shared" si="13"/>
        <v>0</v>
      </c>
      <c r="L99" s="364"/>
      <c r="M99" s="105">
        <v>540</v>
      </c>
      <c r="N99" s="105"/>
      <c r="O99" s="9"/>
      <c r="P99" s="67">
        <f t="shared" si="14"/>
        <v>540</v>
      </c>
      <c r="Q99" s="9"/>
      <c r="R99" s="9"/>
      <c r="S99" s="12">
        <v>540</v>
      </c>
      <c r="T99" s="44">
        <v>540</v>
      </c>
      <c r="U99" s="44">
        <v>540.02</v>
      </c>
    </row>
    <row r="100" spans="1:21" s="593" customFormat="1" ht="17.25" customHeight="1" x14ac:dyDescent="0.25">
      <c r="A100" s="622" t="s">
        <v>80</v>
      </c>
      <c r="B100" s="622"/>
      <c r="C100" s="622"/>
      <c r="D100" s="623">
        <f>SUM(D80:D99)</f>
        <v>563067.67799999996</v>
      </c>
      <c r="E100" s="624">
        <f>SUM(E80:E99)</f>
        <v>0</v>
      </c>
      <c r="F100" s="625">
        <f>SUM(F80:F99)</f>
        <v>0</v>
      </c>
      <c r="G100" s="626">
        <f>SUM(G80:G99)</f>
        <v>563067.67799999996</v>
      </c>
      <c r="H100" s="627"/>
      <c r="I100" s="627"/>
      <c r="J100" s="627"/>
      <c r="K100" s="626">
        <f>SUM(K80:K99)</f>
        <v>15942.678000000024</v>
      </c>
      <c r="L100" s="628"/>
      <c r="M100" s="629">
        <f>SUM(M80:M99)</f>
        <v>547125</v>
      </c>
      <c r="N100" s="629">
        <f>SUM(N80:N99)</f>
        <v>0</v>
      </c>
      <c r="O100" s="630">
        <f>SUM(O80:O99)</f>
        <v>0</v>
      </c>
      <c r="P100" s="630">
        <f>SUM(M100:O100)</f>
        <v>547125</v>
      </c>
      <c r="Q100" s="631">
        <f>P100/P49</f>
        <v>8.2837983514919541E-2</v>
      </c>
      <c r="R100" s="632">
        <f>P100-S100</f>
        <v>57163</v>
      </c>
      <c r="S100" s="633">
        <v>489962</v>
      </c>
      <c r="T100" s="634">
        <v>486830</v>
      </c>
      <c r="U100" s="634">
        <v>419591.36</v>
      </c>
    </row>
    <row r="101" spans="1:21" ht="15" customHeight="1" x14ac:dyDescent="0.25">
      <c r="A101" s="61"/>
      <c r="B101" s="69"/>
      <c r="C101" s="69"/>
      <c r="D101" s="178"/>
      <c r="E101" s="178"/>
      <c r="F101" s="178"/>
      <c r="G101" s="178"/>
      <c r="H101" s="215"/>
      <c r="I101" s="212"/>
      <c r="J101" s="212"/>
      <c r="K101" s="233"/>
      <c r="L101" s="328"/>
      <c r="M101" s="51"/>
      <c r="N101" s="51"/>
      <c r="O101" s="51"/>
      <c r="P101" s="61"/>
      <c r="Q101" s="61"/>
      <c r="R101" s="68"/>
      <c r="S101" s="69"/>
      <c r="T101" s="69"/>
      <c r="U101" s="69"/>
    </row>
    <row r="102" spans="1:21" ht="30.75" customHeight="1" x14ac:dyDescent="0.25">
      <c r="A102" s="52" t="s">
        <v>81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323"/>
      <c r="M102" s="305"/>
      <c r="N102" s="52"/>
      <c r="O102" s="52"/>
      <c r="P102" s="53"/>
      <c r="Q102" s="53"/>
      <c r="R102" s="152"/>
      <c r="S102" s="152"/>
      <c r="T102" s="54"/>
      <c r="U102" s="66"/>
    </row>
    <row r="103" spans="1:21" ht="14.45" hidden="1" customHeight="1" x14ac:dyDescent="0.25">
      <c r="A103" s="70" t="s">
        <v>73</v>
      </c>
      <c r="B103" s="546"/>
      <c r="C103" s="546"/>
      <c r="D103" s="179"/>
      <c r="E103" s="179"/>
      <c r="F103" s="179"/>
      <c r="G103" s="179"/>
      <c r="H103" s="218"/>
      <c r="I103" s="232"/>
      <c r="J103" s="232"/>
      <c r="K103" s="232"/>
      <c r="L103" s="324"/>
      <c r="M103" s="71"/>
      <c r="N103" s="71"/>
      <c r="O103" s="71"/>
      <c r="P103" s="70"/>
      <c r="Q103" s="70"/>
      <c r="R103" s="72"/>
      <c r="S103" s="73">
        <v>0</v>
      </c>
      <c r="T103" s="73">
        <v>93056</v>
      </c>
      <c r="U103" s="73">
        <v>80524.960000000006</v>
      </c>
    </row>
    <row r="104" spans="1:21" ht="14.45" hidden="1" customHeight="1" x14ac:dyDescent="0.25">
      <c r="A104" s="70" t="s">
        <v>82</v>
      </c>
      <c r="B104" s="546"/>
      <c r="C104" s="546"/>
      <c r="D104" s="179"/>
      <c r="E104" s="179"/>
      <c r="F104" s="179"/>
      <c r="G104" s="179"/>
      <c r="H104" s="218"/>
      <c r="I104" s="232"/>
      <c r="J104" s="232"/>
      <c r="K104" s="232"/>
      <c r="L104" s="324"/>
      <c r="M104" s="71"/>
      <c r="N104" s="71"/>
      <c r="O104" s="71"/>
      <c r="P104" s="70"/>
      <c r="Q104" s="70"/>
      <c r="R104" s="72"/>
      <c r="S104" s="73">
        <v>0</v>
      </c>
      <c r="T104" s="73">
        <v>0</v>
      </c>
      <c r="U104" s="73">
        <v>0</v>
      </c>
    </row>
    <row r="105" spans="1:21" ht="14.45" hidden="1" customHeight="1" x14ac:dyDescent="0.25">
      <c r="A105" s="70" t="s">
        <v>83</v>
      </c>
      <c r="B105" s="546"/>
      <c r="C105" s="546"/>
      <c r="D105" s="179"/>
      <c r="E105" s="179"/>
      <c r="F105" s="179"/>
      <c r="G105" s="179"/>
      <c r="H105" s="218"/>
      <c r="I105" s="232"/>
      <c r="J105" s="232"/>
      <c r="K105" s="232"/>
      <c r="L105" s="324"/>
      <c r="M105" s="71"/>
      <c r="N105" s="71"/>
      <c r="O105" s="71"/>
      <c r="P105" s="70"/>
      <c r="Q105" s="70"/>
      <c r="R105" s="72"/>
      <c r="S105" s="73">
        <v>0</v>
      </c>
      <c r="T105" s="73">
        <v>6354</v>
      </c>
      <c r="U105" s="73">
        <v>7100.41</v>
      </c>
    </row>
    <row r="106" spans="1:21" ht="14.45" hidden="1" customHeight="1" x14ac:dyDescent="0.25">
      <c r="A106" s="70" t="s">
        <v>55</v>
      </c>
      <c r="B106" s="546"/>
      <c r="C106" s="546"/>
      <c r="D106" s="179"/>
      <c r="E106" s="179"/>
      <c r="F106" s="179"/>
      <c r="G106" s="179"/>
      <c r="H106" s="218"/>
      <c r="I106" s="232"/>
      <c r="J106" s="232"/>
      <c r="K106" s="232"/>
      <c r="L106" s="324"/>
      <c r="M106" s="71"/>
      <c r="N106" s="71"/>
      <c r="O106" s="71"/>
      <c r="P106" s="70"/>
      <c r="Q106" s="70"/>
      <c r="R106" s="72"/>
      <c r="S106" s="73">
        <v>0</v>
      </c>
      <c r="T106" s="73">
        <v>10564</v>
      </c>
      <c r="U106" s="73">
        <v>17817.55</v>
      </c>
    </row>
    <row r="107" spans="1:21" ht="14.45" hidden="1" customHeight="1" x14ac:dyDescent="0.25">
      <c r="A107" s="70" t="s">
        <v>84</v>
      </c>
      <c r="B107" s="546"/>
      <c r="C107" s="546"/>
      <c r="D107" s="179"/>
      <c r="E107" s="179"/>
      <c r="F107" s="179"/>
      <c r="G107" s="179"/>
      <c r="H107" s="218"/>
      <c r="I107" s="232"/>
      <c r="J107" s="232"/>
      <c r="K107" s="232"/>
      <c r="L107" s="324"/>
      <c r="M107" s="71"/>
      <c r="N107" s="71"/>
      <c r="O107" s="71"/>
      <c r="P107" s="70"/>
      <c r="Q107" s="70"/>
      <c r="R107" s="72"/>
      <c r="S107" s="73">
        <v>0</v>
      </c>
      <c r="T107" s="73">
        <v>2700</v>
      </c>
      <c r="U107" s="73">
        <v>2366.46</v>
      </c>
    </row>
    <row r="108" spans="1:21" ht="14.45" hidden="1" customHeight="1" x14ac:dyDescent="0.25">
      <c r="A108" s="70" t="s">
        <v>57</v>
      </c>
      <c r="B108" s="546"/>
      <c r="C108" s="546"/>
      <c r="D108" s="179"/>
      <c r="E108" s="179"/>
      <c r="F108" s="179"/>
      <c r="G108" s="179"/>
      <c r="H108" s="218"/>
      <c r="I108" s="232"/>
      <c r="J108" s="232"/>
      <c r="K108" s="232"/>
      <c r="L108" s="324"/>
      <c r="M108" s="71"/>
      <c r="N108" s="71"/>
      <c r="O108" s="71"/>
      <c r="P108" s="70"/>
      <c r="Q108" s="70"/>
      <c r="R108" s="72"/>
      <c r="S108" s="73">
        <v>0</v>
      </c>
      <c r="T108" s="73">
        <v>0</v>
      </c>
      <c r="U108" s="73">
        <v>454.46</v>
      </c>
    </row>
    <row r="109" spans="1:21" ht="14.45" hidden="1" customHeight="1" x14ac:dyDescent="0.25">
      <c r="A109" s="70" t="s">
        <v>59</v>
      </c>
      <c r="B109" s="546"/>
      <c r="C109" s="546"/>
      <c r="D109" s="179"/>
      <c r="E109" s="179"/>
      <c r="F109" s="179"/>
      <c r="G109" s="179"/>
      <c r="H109" s="218"/>
      <c r="I109" s="232"/>
      <c r="J109" s="232"/>
      <c r="K109" s="232"/>
      <c r="L109" s="324"/>
      <c r="M109" s="71"/>
      <c r="N109" s="71"/>
      <c r="O109" s="71"/>
      <c r="P109" s="70"/>
      <c r="Q109" s="70"/>
      <c r="R109" s="72"/>
      <c r="S109" s="73">
        <v>0</v>
      </c>
      <c r="T109" s="73">
        <v>7475</v>
      </c>
      <c r="U109" s="73">
        <v>8221.27</v>
      </c>
    </row>
    <row r="110" spans="1:21" ht="14.45" hidden="1" customHeight="1" x14ac:dyDescent="0.25">
      <c r="A110" s="70" t="s">
        <v>60</v>
      </c>
      <c r="B110" s="546"/>
      <c r="C110" s="546"/>
      <c r="D110" s="179"/>
      <c r="E110" s="179"/>
      <c r="F110" s="179"/>
      <c r="G110" s="179"/>
      <c r="H110" s="218"/>
      <c r="I110" s="232"/>
      <c r="J110" s="232"/>
      <c r="K110" s="232"/>
      <c r="L110" s="324"/>
      <c r="M110" s="71"/>
      <c r="N110" s="71"/>
      <c r="O110" s="71"/>
      <c r="P110" s="70"/>
      <c r="Q110" s="70"/>
      <c r="R110" s="72"/>
      <c r="S110" s="73">
        <v>0</v>
      </c>
      <c r="T110" s="73">
        <v>198</v>
      </c>
      <c r="U110" s="73">
        <v>255.03</v>
      </c>
    </row>
    <row r="111" spans="1:21" ht="14.45" hidden="1" customHeight="1" x14ac:dyDescent="0.25">
      <c r="A111" s="70" t="s">
        <v>85</v>
      </c>
      <c r="B111" s="546"/>
      <c r="C111" s="546"/>
      <c r="D111" s="179"/>
      <c r="E111" s="179"/>
      <c r="F111" s="179"/>
      <c r="G111" s="179"/>
      <c r="H111" s="218"/>
      <c r="I111" s="232"/>
      <c r="J111" s="232"/>
      <c r="K111" s="232"/>
      <c r="L111" s="324"/>
      <c r="M111" s="71"/>
      <c r="N111" s="71"/>
      <c r="O111" s="71"/>
      <c r="P111" s="70"/>
      <c r="Q111" s="70"/>
      <c r="R111" s="72"/>
      <c r="S111" s="73">
        <v>0</v>
      </c>
      <c r="T111" s="73">
        <v>3000</v>
      </c>
      <c r="U111" s="73">
        <v>271.89</v>
      </c>
    </row>
    <row r="112" spans="1:21" ht="14.45" hidden="1" customHeight="1" x14ac:dyDescent="0.25">
      <c r="A112" s="70" t="s">
        <v>86</v>
      </c>
      <c r="B112" s="546"/>
      <c r="C112" s="546"/>
      <c r="D112" s="179"/>
      <c r="E112" s="179"/>
      <c r="F112" s="179"/>
      <c r="G112" s="179"/>
      <c r="H112" s="218"/>
      <c r="I112" s="232"/>
      <c r="J112" s="232"/>
      <c r="K112" s="232"/>
      <c r="L112" s="324"/>
      <c r="M112" s="71"/>
      <c r="N112" s="71"/>
      <c r="O112" s="71"/>
      <c r="P112" s="70"/>
      <c r="Q112" s="70"/>
      <c r="R112" s="72"/>
      <c r="S112" s="73">
        <v>0</v>
      </c>
      <c r="T112" s="73">
        <v>1000</v>
      </c>
      <c r="U112" s="73">
        <v>725</v>
      </c>
    </row>
    <row r="113" spans="1:26" ht="14.45" hidden="1" customHeight="1" x14ac:dyDescent="0.25">
      <c r="A113" s="70" t="s">
        <v>63</v>
      </c>
      <c r="B113" s="546"/>
      <c r="C113" s="546"/>
      <c r="D113" s="179"/>
      <c r="E113" s="179"/>
      <c r="F113" s="179"/>
      <c r="G113" s="179"/>
      <c r="H113" s="218"/>
      <c r="I113" s="232"/>
      <c r="J113" s="232"/>
      <c r="K113" s="232"/>
      <c r="L113" s="324"/>
      <c r="M113" s="71"/>
      <c r="N113" s="71"/>
      <c r="O113" s="71"/>
      <c r="P113" s="70"/>
      <c r="Q113" s="70"/>
      <c r="R113" s="72"/>
      <c r="S113" s="73">
        <v>0</v>
      </c>
      <c r="T113" s="73">
        <v>250</v>
      </c>
      <c r="U113" s="73">
        <v>242.74</v>
      </c>
    </row>
    <row r="114" spans="1:26" ht="14.45" hidden="1" customHeight="1" x14ac:dyDescent="0.25">
      <c r="A114" s="70" t="s">
        <v>64</v>
      </c>
      <c r="B114" s="546"/>
      <c r="C114" s="546"/>
      <c r="D114" s="179"/>
      <c r="E114" s="179"/>
      <c r="F114" s="179"/>
      <c r="G114" s="179"/>
      <c r="H114" s="218"/>
      <c r="I114" s="232"/>
      <c r="J114" s="232"/>
      <c r="K114" s="232"/>
      <c r="L114" s="324"/>
      <c r="M114" s="71"/>
      <c r="N114" s="71"/>
      <c r="O114" s="71"/>
      <c r="P114" s="70"/>
      <c r="Q114" s="70"/>
      <c r="R114" s="72"/>
      <c r="S114" s="73">
        <v>0</v>
      </c>
      <c r="T114" s="73">
        <v>100</v>
      </c>
      <c r="U114" s="73">
        <v>64.09</v>
      </c>
    </row>
    <row r="115" spans="1:26" ht="9.75" hidden="1" customHeight="1" x14ac:dyDescent="0.25">
      <c r="A115" s="70" t="s">
        <v>65</v>
      </c>
      <c r="B115" s="546"/>
      <c r="C115" s="546"/>
      <c r="D115" s="179"/>
      <c r="E115" s="179"/>
      <c r="F115" s="179"/>
      <c r="G115" s="179"/>
      <c r="H115" s="218"/>
      <c r="I115" s="232"/>
      <c r="J115" s="232"/>
      <c r="K115" s="232"/>
      <c r="L115" s="324"/>
      <c r="M115" s="71"/>
      <c r="N115" s="71"/>
      <c r="O115" s="71"/>
      <c r="P115" s="70"/>
      <c r="Q115" s="70"/>
      <c r="R115" s="72"/>
      <c r="S115" s="73">
        <v>0</v>
      </c>
      <c r="T115" s="73">
        <v>1650</v>
      </c>
      <c r="U115" s="73">
        <v>587.75</v>
      </c>
    </row>
    <row r="116" spans="1:26" ht="14.45" customHeight="1" x14ac:dyDescent="0.25">
      <c r="A116" s="7" t="s">
        <v>87</v>
      </c>
      <c r="B116" s="148"/>
      <c r="C116" s="148"/>
      <c r="D116" s="254">
        <v>1000</v>
      </c>
      <c r="E116" s="164"/>
      <c r="F116" s="164"/>
      <c r="G116" s="197">
        <f t="shared" ref="G116:G123" si="15">+F116+E116+D116</f>
        <v>1000</v>
      </c>
      <c r="H116" s="218"/>
      <c r="I116" s="218"/>
      <c r="J116" s="218"/>
      <c r="K116" s="164">
        <f t="shared" ref="K116:K123" si="16">+G116-P116</f>
        <v>0</v>
      </c>
      <c r="L116" s="364"/>
      <c r="M116" s="206">
        <v>1000</v>
      </c>
      <c r="N116" s="206"/>
      <c r="O116" s="74"/>
      <c r="P116" s="75">
        <f>M116+N116+O116</f>
        <v>1000</v>
      </c>
      <c r="Q116" s="74"/>
      <c r="R116" s="74"/>
      <c r="S116" s="12">
        <v>10000</v>
      </c>
      <c r="T116" s="44">
        <v>25000</v>
      </c>
      <c r="U116" s="44">
        <v>5245.75</v>
      </c>
    </row>
    <row r="117" spans="1:26" ht="14.45" customHeight="1" x14ac:dyDescent="0.25">
      <c r="A117" s="7" t="s">
        <v>88</v>
      </c>
      <c r="B117" s="148"/>
      <c r="C117" s="148"/>
      <c r="D117" s="254">
        <v>5000</v>
      </c>
      <c r="E117" s="164"/>
      <c r="F117" s="164"/>
      <c r="G117" s="197">
        <f t="shared" si="15"/>
        <v>5000</v>
      </c>
      <c r="H117" s="218"/>
      <c r="I117" s="218"/>
      <c r="J117" s="218"/>
      <c r="K117" s="164">
        <f t="shared" si="16"/>
        <v>0</v>
      </c>
      <c r="L117" s="364"/>
      <c r="M117" s="206">
        <v>5000</v>
      </c>
      <c r="N117" s="206"/>
      <c r="O117" s="74"/>
      <c r="P117" s="75">
        <f t="shared" ref="P117:P123" si="17">M117+N117+O117</f>
        <v>5000</v>
      </c>
      <c r="Q117" s="74"/>
      <c r="R117" s="74"/>
      <c r="S117" s="12">
        <v>5000</v>
      </c>
      <c r="T117" s="44">
        <v>6000</v>
      </c>
      <c r="U117" s="44">
        <v>4827.84</v>
      </c>
    </row>
    <row r="118" spans="1:26" ht="14.45" hidden="1" customHeight="1" x14ac:dyDescent="0.25">
      <c r="A118" s="7" t="s">
        <v>78</v>
      </c>
      <c r="B118" s="148"/>
      <c r="C118" s="148"/>
      <c r="D118" s="254"/>
      <c r="E118" s="164"/>
      <c r="F118" s="164"/>
      <c r="G118" s="197">
        <f t="shared" si="15"/>
        <v>0</v>
      </c>
      <c r="H118" s="218"/>
      <c r="I118" s="218"/>
      <c r="J118" s="218"/>
      <c r="K118" s="164">
        <f t="shared" si="16"/>
        <v>0</v>
      </c>
      <c r="L118" s="364"/>
      <c r="M118" s="206"/>
      <c r="N118" s="206"/>
      <c r="O118" s="74"/>
      <c r="P118" s="75">
        <f t="shared" si="17"/>
        <v>0</v>
      </c>
      <c r="Q118" s="74"/>
      <c r="R118" s="74"/>
      <c r="S118" s="12">
        <v>0</v>
      </c>
      <c r="T118" s="44">
        <v>0</v>
      </c>
      <c r="U118" s="44">
        <v>129</v>
      </c>
    </row>
    <row r="119" spans="1:26" ht="14.45" customHeight="1" x14ac:dyDescent="0.25">
      <c r="A119" s="7" t="s">
        <v>89</v>
      </c>
      <c r="B119" s="148"/>
      <c r="C119" s="148"/>
      <c r="D119" s="254">
        <v>2000</v>
      </c>
      <c r="E119" s="164"/>
      <c r="F119" s="164"/>
      <c r="G119" s="197">
        <f t="shared" si="15"/>
        <v>2000</v>
      </c>
      <c r="H119" s="218"/>
      <c r="I119" s="218"/>
      <c r="J119" s="218"/>
      <c r="K119" s="164">
        <f t="shared" si="16"/>
        <v>1000</v>
      </c>
      <c r="L119" s="364"/>
      <c r="M119" s="206">
        <v>1000</v>
      </c>
      <c r="N119" s="206"/>
      <c r="O119" s="74"/>
      <c r="P119" s="75">
        <f t="shared" si="17"/>
        <v>1000</v>
      </c>
      <c r="Q119" s="74"/>
      <c r="R119" s="74"/>
      <c r="S119" s="12">
        <v>1000</v>
      </c>
      <c r="T119" s="44">
        <v>5000</v>
      </c>
      <c r="U119" s="44">
        <v>1359.95</v>
      </c>
    </row>
    <row r="120" spans="1:26" ht="14.45" customHeight="1" x14ac:dyDescent="0.25">
      <c r="A120" s="148" t="s">
        <v>90</v>
      </c>
      <c r="B120" s="148"/>
      <c r="C120" s="148"/>
      <c r="D120" s="254">
        <v>5000</v>
      </c>
      <c r="E120" s="164"/>
      <c r="F120" s="164"/>
      <c r="G120" s="197">
        <f t="shared" si="15"/>
        <v>5000</v>
      </c>
      <c r="H120" s="218"/>
      <c r="I120" s="218"/>
      <c r="J120" s="218"/>
      <c r="K120" s="164">
        <f t="shared" si="16"/>
        <v>0</v>
      </c>
      <c r="L120" s="364"/>
      <c r="M120" s="206">
        <v>5000</v>
      </c>
      <c r="N120" s="206"/>
      <c r="O120" s="74"/>
      <c r="P120" s="75">
        <f t="shared" si="17"/>
        <v>5000</v>
      </c>
      <c r="Q120" s="74"/>
      <c r="R120" s="74"/>
      <c r="S120" s="12">
        <v>5000</v>
      </c>
      <c r="T120" s="44">
        <v>0</v>
      </c>
      <c r="U120" s="44">
        <v>27061.25</v>
      </c>
    </row>
    <row r="121" spans="1:26" ht="14.45" customHeight="1" x14ac:dyDescent="0.25">
      <c r="A121" s="7" t="s">
        <v>67</v>
      </c>
      <c r="B121" s="148"/>
      <c r="C121" s="148"/>
      <c r="D121" s="254">
        <v>3000</v>
      </c>
      <c r="E121" s="164"/>
      <c r="F121" s="164"/>
      <c r="G121" s="197">
        <f t="shared" si="15"/>
        <v>3000</v>
      </c>
      <c r="H121" s="218"/>
      <c r="I121" s="218"/>
      <c r="J121" s="218"/>
      <c r="K121" s="164">
        <f t="shared" si="16"/>
        <v>0</v>
      </c>
      <c r="L121" s="364"/>
      <c r="M121" s="206">
        <v>3000</v>
      </c>
      <c r="N121" s="206"/>
      <c r="O121" s="74"/>
      <c r="P121" s="75">
        <f t="shared" si="17"/>
        <v>3000</v>
      </c>
      <c r="Q121" s="74"/>
      <c r="R121" s="74"/>
      <c r="S121" s="12">
        <v>4000</v>
      </c>
      <c r="T121" s="44">
        <v>12000</v>
      </c>
      <c r="U121" s="44">
        <v>2990.35</v>
      </c>
    </row>
    <row r="122" spans="1:26" ht="14.45" customHeight="1" x14ac:dyDescent="0.25">
      <c r="A122" s="7" t="s">
        <v>79</v>
      </c>
      <c r="B122" s="148"/>
      <c r="C122" s="148"/>
      <c r="D122" s="254">
        <v>1000</v>
      </c>
      <c r="E122" s="164"/>
      <c r="F122" s="164"/>
      <c r="G122" s="197">
        <f t="shared" si="15"/>
        <v>1000</v>
      </c>
      <c r="H122" s="218"/>
      <c r="I122" s="218"/>
      <c r="J122" s="218"/>
      <c r="K122" s="164">
        <f t="shared" si="16"/>
        <v>0</v>
      </c>
      <c r="L122" s="364"/>
      <c r="M122" s="206">
        <v>1000</v>
      </c>
      <c r="N122" s="206"/>
      <c r="O122" s="74"/>
      <c r="P122" s="75">
        <f t="shared" si="17"/>
        <v>1000</v>
      </c>
      <c r="Q122" s="74"/>
      <c r="R122" s="74"/>
      <c r="S122" s="12">
        <v>1000</v>
      </c>
      <c r="T122" s="44">
        <v>1500</v>
      </c>
      <c r="U122" s="44">
        <v>1039.2</v>
      </c>
    </row>
    <row r="123" spans="1:26" ht="15.75" customHeight="1" x14ac:dyDescent="0.25">
      <c r="A123" s="148" t="s">
        <v>91</v>
      </c>
      <c r="B123" s="148"/>
      <c r="C123" s="148"/>
      <c r="D123" s="254">
        <v>14000</v>
      </c>
      <c r="E123" s="164"/>
      <c r="F123" s="164"/>
      <c r="G123" s="197">
        <f t="shared" si="15"/>
        <v>14000</v>
      </c>
      <c r="H123" s="218"/>
      <c r="I123" s="218"/>
      <c r="J123" s="218"/>
      <c r="K123" s="164">
        <f t="shared" si="16"/>
        <v>6000</v>
      </c>
      <c r="L123" s="364"/>
      <c r="M123" s="306">
        <v>8000</v>
      </c>
      <c r="N123" s="206"/>
      <c r="O123" s="74"/>
      <c r="P123" s="75">
        <f t="shared" si="17"/>
        <v>8000</v>
      </c>
      <c r="Q123" s="74"/>
      <c r="R123" s="74"/>
      <c r="S123" s="12">
        <v>28000</v>
      </c>
      <c r="T123" s="44">
        <v>30000</v>
      </c>
      <c r="U123" s="44">
        <v>27005.11</v>
      </c>
    </row>
    <row r="124" spans="1:26" ht="14.45" customHeight="1" x14ac:dyDescent="0.25">
      <c r="A124" s="142" t="s">
        <v>92</v>
      </c>
      <c r="B124" s="293"/>
      <c r="C124" s="293"/>
      <c r="D124" s="180">
        <f>SUM(D116:D123)</f>
        <v>31000</v>
      </c>
      <c r="E124" s="180">
        <f>SUM(E116:E123)</f>
        <v>0</v>
      </c>
      <c r="F124" s="180">
        <f>SUM(F116:F123)</f>
        <v>0</v>
      </c>
      <c r="G124" s="199">
        <f>SUM(G116:G123)</f>
        <v>31000</v>
      </c>
      <c r="H124" s="225"/>
      <c r="I124" s="225"/>
      <c r="J124" s="225"/>
      <c r="K124" s="225">
        <f>SUM(K116:K123)</f>
        <v>7000</v>
      </c>
      <c r="L124" s="366"/>
      <c r="M124" s="207">
        <f>SUM(M116:M123)</f>
        <v>24000</v>
      </c>
      <c r="N124" s="207">
        <f t="shared" ref="N124:O124" si="18">SUM(N116:N123)</f>
        <v>0</v>
      </c>
      <c r="O124" s="1">
        <f t="shared" si="18"/>
        <v>0</v>
      </c>
      <c r="P124" s="1">
        <f>SUM(M124:O124)</f>
        <v>24000</v>
      </c>
      <c r="Q124" s="76">
        <f>P124/P49</f>
        <v>3.6337429369121665E-3</v>
      </c>
      <c r="R124" s="77">
        <f>P124-S124</f>
        <v>-30000</v>
      </c>
      <c r="S124" s="32">
        <v>54000</v>
      </c>
      <c r="T124" s="49">
        <v>205847</v>
      </c>
      <c r="U124" s="49">
        <v>188290.06</v>
      </c>
    </row>
    <row r="125" spans="1:26" ht="15" customHeight="1" x14ac:dyDescent="0.25">
      <c r="A125" s="61"/>
      <c r="B125" s="69"/>
      <c r="C125" s="69"/>
      <c r="D125" s="178"/>
      <c r="E125" s="178"/>
      <c r="F125" s="178"/>
      <c r="G125" s="178"/>
      <c r="H125" s="215"/>
      <c r="I125" s="212"/>
      <c r="J125" s="212"/>
      <c r="K125" s="233"/>
      <c r="L125" s="328"/>
      <c r="M125" s="51"/>
      <c r="N125" s="51"/>
      <c r="O125" s="51"/>
      <c r="P125" s="61"/>
      <c r="Q125" s="61"/>
      <c r="R125" s="68"/>
      <c r="S125" s="69"/>
      <c r="T125" s="69"/>
      <c r="U125" s="69"/>
    </row>
    <row r="126" spans="1:26" ht="30.75" customHeight="1" x14ac:dyDescent="0.25">
      <c r="A126" s="146" t="s">
        <v>93</v>
      </c>
      <c r="B126" s="146"/>
      <c r="C126" s="146"/>
      <c r="D126" s="146"/>
      <c r="E126" s="146"/>
      <c r="F126" s="146"/>
      <c r="G126" s="146"/>
      <c r="H126" s="146"/>
      <c r="I126" s="52"/>
      <c r="J126" s="52"/>
      <c r="K126" s="52"/>
      <c r="L126" s="323"/>
      <c r="M126" s="307"/>
      <c r="N126" s="78"/>
      <c r="O126" s="78"/>
      <c r="P126" s="53"/>
      <c r="Q126" s="53"/>
      <c r="R126" s="147"/>
      <c r="S126" s="147"/>
      <c r="T126" s="54"/>
      <c r="U126" s="66"/>
      <c r="X126" s="391"/>
    </row>
    <row r="127" spans="1:26" ht="14.45" hidden="1" customHeight="1" x14ac:dyDescent="0.25">
      <c r="A127" s="143" t="s">
        <v>73</v>
      </c>
      <c r="B127" s="148"/>
      <c r="C127" s="148"/>
      <c r="D127" s="164">
        <f>+X127*1.035*2</f>
        <v>0</v>
      </c>
      <c r="E127" s="164"/>
      <c r="F127" s="164"/>
      <c r="G127" s="197">
        <f t="shared" ref="G127:G138" si="19">+F127+E127+D127</f>
        <v>0</v>
      </c>
      <c r="H127" s="218"/>
      <c r="I127" s="296"/>
      <c r="J127" s="296"/>
      <c r="K127" s="296"/>
      <c r="L127" s="319"/>
      <c r="M127" s="300"/>
      <c r="N127" s="206"/>
      <c r="O127" s="74"/>
      <c r="P127" s="74"/>
      <c r="Q127" s="74"/>
      <c r="R127" s="74"/>
      <c r="S127" s="12"/>
      <c r="T127" s="44">
        <v>73070</v>
      </c>
      <c r="U127" s="44">
        <v>65346.22</v>
      </c>
      <c r="X127" s="392"/>
      <c r="Y127" s="341"/>
    </row>
    <row r="128" spans="1:26" ht="14.45" hidden="1" customHeight="1" x14ac:dyDescent="0.25">
      <c r="A128" s="143" t="s">
        <v>94</v>
      </c>
      <c r="B128" s="148"/>
      <c r="C128" s="148"/>
      <c r="D128" s="164"/>
      <c r="E128" s="164"/>
      <c r="F128" s="164"/>
      <c r="G128" s="197">
        <f t="shared" si="19"/>
        <v>0</v>
      </c>
      <c r="H128" s="218"/>
      <c r="I128" s="296"/>
      <c r="J128" s="296"/>
      <c r="K128" s="296"/>
      <c r="L128" s="319"/>
      <c r="M128" s="300"/>
      <c r="N128" s="206"/>
      <c r="O128" s="74"/>
      <c r="P128" s="74"/>
      <c r="Q128" s="74"/>
      <c r="R128" s="74"/>
      <c r="S128" s="12"/>
      <c r="T128" s="44">
        <v>81171</v>
      </c>
      <c r="U128" s="44">
        <v>73691.990000000005</v>
      </c>
      <c r="W128" s="493">
        <f>70729</f>
        <v>70729</v>
      </c>
      <c r="X128" s="492">
        <f>1.3*W128</f>
        <v>91947.7</v>
      </c>
      <c r="Y128" s="492">
        <f>+X128*1.03</f>
        <v>94706.130999999994</v>
      </c>
      <c r="Z128" s="495" t="s">
        <v>515</v>
      </c>
    </row>
    <row r="129" spans="1:26" ht="14.45" hidden="1" customHeight="1" x14ac:dyDescent="0.25">
      <c r="A129" s="143" t="s">
        <v>75</v>
      </c>
      <c r="B129" s="148"/>
      <c r="C129" s="148"/>
      <c r="D129" s="164">
        <v>0</v>
      </c>
      <c r="E129" s="164"/>
      <c r="F129" s="164"/>
      <c r="G129" s="197">
        <f t="shared" si="19"/>
        <v>0</v>
      </c>
      <c r="H129" s="218"/>
      <c r="I129" s="296"/>
      <c r="J129" s="296"/>
      <c r="K129" s="296"/>
      <c r="L129" s="319"/>
      <c r="M129" s="300"/>
      <c r="N129" s="206"/>
      <c r="O129" s="74"/>
      <c r="P129" s="74"/>
      <c r="Q129" s="74"/>
      <c r="R129" s="74"/>
      <c r="S129" s="12"/>
      <c r="T129" s="44">
        <v>4793</v>
      </c>
      <c r="U129" s="44">
        <v>4802.26</v>
      </c>
      <c r="W129" s="493">
        <v>110000</v>
      </c>
      <c r="X129" s="492">
        <f>+W129*1.3</f>
        <v>143000</v>
      </c>
      <c r="Y129" s="494">
        <f>+X129</f>
        <v>143000</v>
      </c>
      <c r="Z129" s="495" t="s">
        <v>516</v>
      </c>
    </row>
    <row r="130" spans="1:26" ht="14.45" hidden="1" customHeight="1" x14ac:dyDescent="0.25">
      <c r="A130" s="143" t="s">
        <v>55</v>
      </c>
      <c r="B130" s="148"/>
      <c r="C130" s="148"/>
      <c r="D130" s="164">
        <v>0</v>
      </c>
      <c r="E130" s="164"/>
      <c r="F130" s="164"/>
      <c r="G130" s="197">
        <f t="shared" si="19"/>
        <v>0</v>
      </c>
      <c r="H130" s="218"/>
      <c r="I130" s="296"/>
      <c r="J130" s="296"/>
      <c r="K130" s="296"/>
      <c r="L130" s="319"/>
      <c r="M130" s="300"/>
      <c r="N130" s="206"/>
      <c r="O130" s="74"/>
      <c r="P130" s="74"/>
      <c r="Q130" s="74"/>
      <c r="R130" s="74"/>
      <c r="S130" s="12"/>
      <c r="T130" s="44">
        <v>18916</v>
      </c>
      <c r="U130" s="44">
        <v>19560</v>
      </c>
      <c r="W130" s="346"/>
      <c r="X130" s="347">
        <f>+X129+X128</f>
        <v>234947.7</v>
      </c>
      <c r="Y130" s="492">
        <f>SUM(Y128:Y129)</f>
        <v>237706.13099999999</v>
      </c>
    </row>
    <row r="131" spans="1:26" ht="14.45" hidden="1" customHeight="1" x14ac:dyDescent="0.25">
      <c r="A131" s="143" t="s">
        <v>84</v>
      </c>
      <c r="B131" s="148"/>
      <c r="C131" s="148"/>
      <c r="D131" s="164">
        <f>+X131*1.035*4</f>
        <v>0</v>
      </c>
      <c r="E131" s="164"/>
      <c r="F131" s="164"/>
      <c r="G131" s="197">
        <f t="shared" si="19"/>
        <v>0</v>
      </c>
      <c r="H131" s="218"/>
      <c r="I131" s="296"/>
      <c r="J131" s="296"/>
      <c r="K131" s="296"/>
      <c r="L131" s="319"/>
      <c r="M131" s="308" t="s">
        <v>95</v>
      </c>
      <c r="N131" s="206"/>
      <c r="O131" s="74"/>
      <c r="P131" s="74"/>
      <c r="Q131" s="74"/>
      <c r="R131" s="74"/>
      <c r="S131" s="12"/>
      <c r="T131" s="44">
        <v>4000</v>
      </c>
      <c r="U131" s="44">
        <v>4000.1</v>
      </c>
      <c r="X131" s="392"/>
      <c r="Y131" s="341"/>
    </row>
    <row r="132" spans="1:26" ht="14.45" hidden="1" customHeight="1" x14ac:dyDescent="0.25">
      <c r="A132" s="143" t="s">
        <v>57</v>
      </c>
      <c r="B132" s="148"/>
      <c r="C132" s="148"/>
      <c r="D132" s="164">
        <v>0</v>
      </c>
      <c r="E132" s="164"/>
      <c r="F132" s="164"/>
      <c r="G132" s="197">
        <f t="shared" si="19"/>
        <v>0</v>
      </c>
      <c r="H132" s="218"/>
      <c r="I132" s="296"/>
      <c r="J132" s="296"/>
      <c r="K132" s="296"/>
      <c r="L132" s="319"/>
      <c r="M132" s="300"/>
      <c r="N132" s="206"/>
      <c r="O132" s="74"/>
      <c r="P132" s="74"/>
      <c r="Q132" s="74"/>
      <c r="R132" s="74"/>
      <c r="S132" s="12"/>
      <c r="T132" s="44">
        <v>0</v>
      </c>
      <c r="U132" s="44">
        <v>506.1</v>
      </c>
      <c r="X132" s="392"/>
      <c r="Y132" s="341"/>
    </row>
    <row r="133" spans="1:26" ht="14.45" hidden="1" customHeight="1" x14ac:dyDescent="0.25">
      <c r="A133" s="143" t="s">
        <v>59</v>
      </c>
      <c r="B133" s="148"/>
      <c r="C133" s="148"/>
      <c r="D133" s="164">
        <f>1.035*X133*2</f>
        <v>0</v>
      </c>
      <c r="E133" s="164"/>
      <c r="F133" s="164"/>
      <c r="G133" s="197">
        <f t="shared" si="19"/>
        <v>0</v>
      </c>
      <c r="H133" s="218"/>
      <c r="I133" s="296"/>
      <c r="J133" s="296"/>
      <c r="K133" s="296"/>
      <c r="L133" s="319"/>
      <c r="M133" s="300"/>
      <c r="N133" s="206"/>
      <c r="O133" s="74"/>
      <c r="P133" s="74"/>
      <c r="Q133" s="74"/>
      <c r="R133" s="74"/>
      <c r="S133" s="12"/>
      <c r="T133" s="44">
        <v>5639</v>
      </c>
      <c r="U133" s="44">
        <v>5901.42</v>
      </c>
      <c r="X133" s="392"/>
      <c r="Y133" s="341"/>
    </row>
    <row r="134" spans="1:26" ht="14.45" hidden="1" customHeight="1" x14ac:dyDescent="0.25">
      <c r="A134" s="143" t="s">
        <v>60</v>
      </c>
      <c r="B134" s="148"/>
      <c r="C134" s="148"/>
      <c r="D134" s="164"/>
      <c r="E134" s="164"/>
      <c r="F134" s="164"/>
      <c r="G134" s="197">
        <f t="shared" si="19"/>
        <v>0</v>
      </c>
      <c r="H134" s="218"/>
      <c r="I134" s="296"/>
      <c r="J134" s="296"/>
      <c r="K134" s="296"/>
      <c r="L134" s="319"/>
      <c r="M134" s="300"/>
      <c r="N134" s="206"/>
      <c r="O134" s="74"/>
      <c r="P134" s="74"/>
      <c r="Q134" s="74"/>
      <c r="R134" s="74"/>
      <c r="S134" s="12"/>
      <c r="T134" s="44">
        <v>376</v>
      </c>
      <c r="U134" s="44">
        <v>152.52000000000001</v>
      </c>
      <c r="X134" s="392"/>
      <c r="Y134" s="341"/>
    </row>
    <row r="135" spans="1:26" ht="14.45" customHeight="1" x14ac:dyDescent="0.25">
      <c r="A135" s="7" t="s">
        <v>96</v>
      </c>
      <c r="B135" s="148"/>
      <c r="C135" s="148"/>
      <c r="D135" s="164">
        <v>3500</v>
      </c>
      <c r="E135" s="164"/>
      <c r="F135" s="164"/>
      <c r="G135" s="197">
        <f t="shared" si="19"/>
        <v>3500</v>
      </c>
      <c r="H135" s="218"/>
      <c r="I135" s="296"/>
      <c r="J135" s="296"/>
      <c r="K135" s="164"/>
      <c r="L135" s="319"/>
      <c r="M135" s="300"/>
      <c r="N135" s="206"/>
      <c r="O135" s="74"/>
      <c r="P135" s="74"/>
      <c r="Q135" s="74"/>
      <c r="R135" s="74"/>
      <c r="S135" s="12"/>
      <c r="T135" s="44">
        <v>2000</v>
      </c>
      <c r="U135" s="44">
        <v>1350</v>
      </c>
      <c r="X135" s="392"/>
      <c r="Y135" s="341"/>
    </row>
    <row r="136" spans="1:26" ht="14.45" customHeight="1" x14ac:dyDescent="0.25">
      <c r="A136" s="7" t="s">
        <v>63</v>
      </c>
      <c r="B136" s="148"/>
      <c r="C136" s="148"/>
      <c r="D136" s="164">
        <f>12500</f>
        <v>12500</v>
      </c>
      <c r="E136" s="164"/>
      <c r="F136" s="164"/>
      <c r="G136" s="197">
        <f t="shared" si="19"/>
        <v>12500</v>
      </c>
      <c r="H136" s="218"/>
      <c r="I136" s="296"/>
      <c r="J136" s="296"/>
      <c r="K136" s="164"/>
      <c r="L136" s="319"/>
      <c r="M136" s="300"/>
      <c r="N136" s="206"/>
      <c r="O136" s="74"/>
      <c r="P136" s="74"/>
      <c r="Q136" s="74"/>
      <c r="R136" s="74"/>
      <c r="S136" s="12"/>
      <c r="T136" s="44">
        <v>1500</v>
      </c>
      <c r="U136" s="44">
        <v>667.32</v>
      </c>
      <c r="X136" s="392"/>
      <c r="Y136" s="341"/>
    </row>
    <row r="137" spans="1:26" ht="14.45" customHeight="1" x14ac:dyDescent="0.25">
      <c r="A137" s="7" t="s">
        <v>64</v>
      </c>
      <c r="B137" s="148"/>
      <c r="C137" s="148"/>
      <c r="D137" s="164">
        <v>5000</v>
      </c>
      <c r="E137" s="164"/>
      <c r="F137" s="164"/>
      <c r="G137" s="197">
        <f t="shared" si="19"/>
        <v>5000</v>
      </c>
      <c r="H137" s="218"/>
      <c r="I137" s="296"/>
      <c r="J137" s="296"/>
      <c r="K137" s="164"/>
      <c r="L137" s="319"/>
      <c r="M137" s="300"/>
      <c r="N137" s="206"/>
      <c r="O137" s="74"/>
      <c r="P137" s="74"/>
      <c r="Q137" s="74"/>
      <c r="R137" s="74"/>
      <c r="S137" s="12"/>
      <c r="T137" s="44">
        <v>0</v>
      </c>
      <c r="U137" s="44">
        <v>119.56</v>
      </c>
      <c r="X137" s="392"/>
      <c r="Y137" s="341"/>
    </row>
    <row r="138" spans="1:26" ht="14.45" customHeight="1" x14ac:dyDescent="0.25">
      <c r="A138" s="7" t="s">
        <v>65</v>
      </c>
      <c r="B138" s="148"/>
      <c r="C138" s="148"/>
      <c r="D138" s="164">
        <v>5000</v>
      </c>
      <c r="E138" s="164"/>
      <c r="F138" s="164"/>
      <c r="G138" s="197">
        <f t="shared" si="19"/>
        <v>5000</v>
      </c>
      <c r="H138" s="218"/>
      <c r="I138" s="296"/>
      <c r="J138" s="296"/>
      <c r="K138" s="164"/>
      <c r="L138" s="319"/>
      <c r="M138" s="300"/>
      <c r="N138" s="206"/>
      <c r="O138" s="74"/>
      <c r="P138" s="74"/>
      <c r="Q138" s="74"/>
      <c r="R138" s="74"/>
      <c r="S138" s="12"/>
      <c r="T138" s="44">
        <v>1500</v>
      </c>
      <c r="U138" s="44">
        <v>1144.51</v>
      </c>
      <c r="X138" s="392"/>
      <c r="Y138" s="341"/>
    </row>
    <row r="139" spans="1:26" ht="16.5" customHeight="1" x14ac:dyDescent="0.25">
      <c r="A139" s="144" t="s">
        <v>97</v>
      </c>
      <c r="B139" s="148"/>
      <c r="C139" s="554"/>
      <c r="D139" s="280">
        <f>+Y130</f>
        <v>237706.13099999999</v>
      </c>
      <c r="E139" s="169">
        <f>SUM(E127:E138)</f>
        <v>0</v>
      </c>
      <c r="F139" s="169">
        <f>SUM(F127:F138)</f>
        <v>0</v>
      </c>
      <c r="G139" s="181">
        <f>+F139+E139+D139</f>
        <v>237706.13099999999</v>
      </c>
      <c r="H139" s="218"/>
      <c r="I139" s="234"/>
      <c r="J139" s="234"/>
      <c r="K139" s="164">
        <f t="shared" ref="K139:K150" si="20">+G139-P139</f>
        <v>40143.130999999994</v>
      </c>
      <c r="L139" s="319"/>
      <c r="M139" s="206">
        <v>197563</v>
      </c>
      <c r="N139" s="206"/>
      <c r="O139" s="74"/>
      <c r="P139" s="74">
        <f t="shared" ref="P139:P150" si="21">M139+N139+O139</f>
        <v>197563</v>
      </c>
      <c r="Q139" s="74"/>
      <c r="R139" s="74"/>
      <c r="S139" s="12">
        <v>194279</v>
      </c>
      <c r="T139" s="44"/>
      <c r="U139" s="44"/>
      <c r="V139" s="3">
        <v>1.03</v>
      </c>
      <c r="W139" s="498" t="s">
        <v>544</v>
      </c>
      <c r="X139" s="50">
        <v>89700</v>
      </c>
    </row>
    <row r="140" spans="1:26" x14ac:dyDescent="0.25">
      <c r="A140" s="7" t="s">
        <v>98</v>
      </c>
      <c r="B140" s="148"/>
      <c r="C140" s="148"/>
      <c r="D140" s="164">
        <v>500</v>
      </c>
      <c r="E140" s="164"/>
      <c r="F140" s="164"/>
      <c r="G140" s="197">
        <f>+F140+E140+D140</f>
        <v>500</v>
      </c>
      <c r="H140" s="218"/>
      <c r="I140" s="296"/>
      <c r="J140" s="296"/>
      <c r="K140" s="164">
        <f t="shared" si="20"/>
        <v>300</v>
      </c>
      <c r="L140" s="319"/>
      <c r="M140" s="206">
        <v>200</v>
      </c>
      <c r="N140" s="206"/>
      <c r="O140" s="74"/>
      <c r="P140" s="75">
        <f t="shared" si="21"/>
        <v>200</v>
      </c>
      <c r="Q140" s="74"/>
      <c r="R140" s="74"/>
      <c r="S140" s="12">
        <v>200</v>
      </c>
      <c r="T140" s="44">
        <v>500</v>
      </c>
      <c r="U140" s="44">
        <v>200</v>
      </c>
    </row>
    <row r="141" spans="1:26" ht="14.45" customHeight="1" x14ac:dyDescent="0.25">
      <c r="A141" s="7" t="s">
        <v>99</v>
      </c>
      <c r="B141" s="148"/>
      <c r="C141" s="148"/>
      <c r="D141" s="164">
        <v>5000</v>
      </c>
      <c r="E141" s="164"/>
      <c r="F141" s="716"/>
      <c r="G141" s="197">
        <f t="shared" ref="G141:G150" si="22">+F141+E141+D141</f>
        <v>5000</v>
      </c>
      <c r="H141" s="218"/>
      <c r="I141" s="296"/>
      <c r="J141" s="296"/>
      <c r="K141" s="164">
        <f t="shared" si="20"/>
        <v>4000</v>
      </c>
      <c r="L141" s="319"/>
      <c r="M141" s="206">
        <v>1000</v>
      </c>
      <c r="N141" s="206"/>
      <c r="O141" s="74"/>
      <c r="P141" s="75">
        <f t="shared" si="21"/>
        <v>1000</v>
      </c>
      <c r="Q141" s="74"/>
      <c r="R141" s="74"/>
      <c r="S141" s="12">
        <v>0</v>
      </c>
      <c r="T141" s="44">
        <v>5000</v>
      </c>
      <c r="U141" s="44">
        <v>6263.23</v>
      </c>
    </row>
    <row r="142" spans="1:26" ht="14.45" customHeight="1" x14ac:dyDescent="0.25">
      <c r="A142" s="7" t="s">
        <v>78</v>
      </c>
      <c r="B142" s="148"/>
      <c r="C142" s="148"/>
      <c r="D142" s="164">
        <v>450</v>
      </c>
      <c r="E142" s="164"/>
      <c r="F142" s="716"/>
      <c r="G142" s="197">
        <f t="shared" si="22"/>
        <v>450</v>
      </c>
      <c r="H142" s="218"/>
      <c r="I142" s="296"/>
      <c r="J142" s="296"/>
      <c r="K142" s="164">
        <f t="shared" si="20"/>
        <v>200</v>
      </c>
      <c r="L142" s="319"/>
      <c r="M142" s="206">
        <v>250</v>
      </c>
      <c r="N142" s="206"/>
      <c r="O142" s="74"/>
      <c r="P142" s="75">
        <f t="shared" si="21"/>
        <v>250</v>
      </c>
      <c r="Q142" s="74"/>
      <c r="R142" s="74"/>
      <c r="S142" s="12">
        <v>200</v>
      </c>
      <c r="T142" s="44">
        <v>200</v>
      </c>
      <c r="U142" s="44">
        <v>271.88</v>
      </c>
    </row>
    <row r="143" spans="1:26" ht="14.45" customHeight="1" x14ac:dyDescent="0.25">
      <c r="A143" s="148" t="s">
        <v>100</v>
      </c>
      <c r="B143" s="148"/>
      <c r="C143" s="148"/>
      <c r="D143" s="181">
        <v>25000</v>
      </c>
      <c r="E143" s="181"/>
      <c r="F143" s="181"/>
      <c r="G143" s="197">
        <f t="shared" si="22"/>
        <v>25000</v>
      </c>
      <c r="H143" s="221"/>
      <c r="I143" s="442"/>
      <c r="J143" s="442"/>
      <c r="K143" s="164">
        <f t="shared" si="20"/>
        <v>11500</v>
      </c>
      <c r="L143" s="329"/>
      <c r="M143" s="306">
        <v>13500</v>
      </c>
      <c r="N143" s="206"/>
      <c r="O143" s="74"/>
      <c r="P143" s="75">
        <f t="shared" si="21"/>
        <v>13500</v>
      </c>
      <c r="Q143" s="74"/>
      <c r="R143" s="74"/>
      <c r="S143" s="12">
        <v>7000</v>
      </c>
      <c r="T143" s="44">
        <v>7000</v>
      </c>
      <c r="U143" s="44">
        <v>5012.7700000000004</v>
      </c>
      <c r="W143" s="343" t="s">
        <v>441</v>
      </c>
    </row>
    <row r="144" spans="1:26" ht="27.75" customHeight="1" x14ac:dyDescent="0.25">
      <c r="A144" s="409" t="s">
        <v>463</v>
      </c>
      <c r="B144" s="410"/>
      <c r="C144" s="410"/>
      <c r="D144" s="411">
        <v>5000</v>
      </c>
      <c r="E144" s="412"/>
      <c r="F144" s="717"/>
      <c r="G144" s="413">
        <f t="shared" si="22"/>
        <v>5000</v>
      </c>
      <c r="H144" s="414"/>
      <c r="I144" s="713"/>
      <c r="J144" s="715"/>
      <c r="K144" s="714">
        <f t="shared" si="20"/>
        <v>5000</v>
      </c>
      <c r="L144" s="415"/>
      <c r="M144" s="416">
        <v>0</v>
      </c>
      <c r="N144" s="417"/>
      <c r="O144" s="418"/>
      <c r="P144" s="418">
        <f t="shared" si="21"/>
        <v>0</v>
      </c>
      <c r="Q144" s="398"/>
      <c r="R144" s="398"/>
      <c r="S144" s="399"/>
      <c r="T144" s="400"/>
      <c r="U144" s="400"/>
      <c r="W144" s="390" t="s">
        <v>510</v>
      </c>
    </row>
    <row r="145" spans="1:21" ht="14.45" customHeight="1" x14ac:dyDescent="0.25">
      <c r="A145" s="155" t="s">
        <v>101</v>
      </c>
      <c r="B145" s="547"/>
      <c r="C145" s="547"/>
      <c r="D145" s="182">
        <v>5000</v>
      </c>
      <c r="E145" s="182"/>
      <c r="F145" s="182"/>
      <c r="G145" s="197">
        <f t="shared" si="22"/>
        <v>5000</v>
      </c>
      <c r="H145" s="226"/>
      <c r="I145" s="443"/>
      <c r="J145" s="443"/>
      <c r="K145" s="164">
        <f>+G145-P145</f>
        <v>4500</v>
      </c>
      <c r="L145" s="330"/>
      <c r="M145" s="206">
        <v>500</v>
      </c>
      <c r="N145" s="206"/>
      <c r="O145" s="74"/>
      <c r="P145" s="75">
        <f t="shared" si="21"/>
        <v>500</v>
      </c>
      <c r="Q145" s="74"/>
      <c r="R145" s="74"/>
      <c r="S145" s="12">
        <v>0</v>
      </c>
      <c r="T145" s="44">
        <v>500</v>
      </c>
      <c r="U145" s="44">
        <v>236.38</v>
      </c>
    </row>
    <row r="146" spans="1:21" ht="14.45" customHeight="1" x14ac:dyDescent="0.25">
      <c r="A146" s="7" t="s">
        <v>67</v>
      </c>
      <c r="B146" s="148"/>
      <c r="C146" s="148"/>
      <c r="D146" s="164">
        <v>500</v>
      </c>
      <c r="E146" s="164"/>
      <c r="F146" s="164"/>
      <c r="G146" s="197">
        <f t="shared" si="22"/>
        <v>500</v>
      </c>
      <c r="H146" s="218"/>
      <c r="I146" s="296"/>
      <c r="J146" s="296"/>
      <c r="K146" s="164">
        <f t="shared" si="20"/>
        <v>0</v>
      </c>
      <c r="L146" s="319"/>
      <c r="M146" s="206">
        <v>500</v>
      </c>
      <c r="N146" s="206"/>
      <c r="O146" s="74"/>
      <c r="P146" s="75">
        <f t="shared" si="21"/>
        <v>500</v>
      </c>
      <c r="Q146" s="74"/>
      <c r="R146" s="74"/>
      <c r="S146" s="12">
        <v>1000</v>
      </c>
      <c r="T146" s="44">
        <v>760</v>
      </c>
      <c r="U146" s="44">
        <v>162.94999999999999</v>
      </c>
    </row>
    <row r="147" spans="1:21" ht="14.45" customHeight="1" x14ac:dyDescent="0.25">
      <c r="A147" s="7" t="s">
        <v>79</v>
      </c>
      <c r="B147" s="148"/>
      <c r="C147" s="148"/>
      <c r="D147" s="164">
        <v>10000</v>
      </c>
      <c r="E147" s="164"/>
      <c r="F147" s="164"/>
      <c r="G147" s="197">
        <f t="shared" si="22"/>
        <v>10000</v>
      </c>
      <c r="H147" s="218"/>
      <c r="I147" s="296"/>
      <c r="J147" s="296"/>
      <c r="K147" s="164">
        <f t="shared" si="20"/>
        <v>1100</v>
      </c>
      <c r="L147" s="319"/>
      <c r="M147" s="306">
        <v>8900</v>
      </c>
      <c r="N147" s="206"/>
      <c r="O147" s="74"/>
      <c r="P147" s="75">
        <f t="shared" si="21"/>
        <v>8900</v>
      </c>
      <c r="Q147" s="74"/>
      <c r="R147" s="74"/>
      <c r="S147" s="12">
        <v>11350</v>
      </c>
      <c r="T147" s="44">
        <v>8000</v>
      </c>
      <c r="U147" s="44">
        <v>6385.22</v>
      </c>
    </row>
    <row r="148" spans="1:21" ht="14.45" customHeight="1" x14ac:dyDescent="0.25">
      <c r="A148" s="7" t="s">
        <v>102</v>
      </c>
      <c r="B148" s="148"/>
      <c r="C148" s="148"/>
      <c r="D148" s="164">
        <v>21000</v>
      </c>
      <c r="E148" s="164"/>
      <c r="F148" s="164"/>
      <c r="G148" s="197">
        <f t="shared" si="22"/>
        <v>21000</v>
      </c>
      <c r="H148" s="218"/>
      <c r="I148" s="296"/>
      <c r="J148" s="296"/>
      <c r="K148" s="164">
        <f t="shared" si="20"/>
        <v>-1500</v>
      </c>
      <c r="L148" s="319"/>
      <c r="M148" s="306">
        <v>22500</v>
      </c>
      <c r="N148" s="206"/>
      <c r="O148" s="74"/>
      <c r="P148" s="75">
        <f t="shared" si="21"/>
        <v>22500</v>
      </c>
      <c r="Q148" s="74"/>
      <c r="R148" s="74"/>
      <c r="S148" s="12">
        <v>25000</v>
      </c>
      <c r="T148" s="44">
        <v>20000</v>
      </c>
      <c r="U148" s="44">
        <v>17060</v>
      </c>
    </row>
    <row r="149" spans="1:21" ht="14.45" customHeight="1" x14ac:dyDescent="0.25">
      <c r="A149" s="7" t="s">
        <v>70</v>
      </c>
      <c r="B149" s="148"/>
      <c r="C149" s="148"/>
      <c r="D149" s="164">
        <v>1500</v>
      </c>
      <c r="E149" s="164"/>
      <c r="F149" s="164"/>
      <c r="G149" s="197">
        <f t="shared" si="22"/>
        <v>1500</v>
      </c>
      <c r="H149" s="218"/>
      <c r="I149" s="296"/>
      <c r="J149" s="296"/>
      <c r="K149" s="164">
        <f t="shared" si="20"/>
        <v>960</v>
      </c>
      <c r="L149" s="319"/>
      <c r="M149" s="206">
        <v>540</v>
      </c>
      <c r="N149" s="206"/>
      <c r="O149" s="74"/>
      <c r="P149" s="75">
        <f t="shared" si="21"/>
        <v>540</v>
      </c>
      <c r="Q149" s="74"/>
      <c r="R149" s="74"/>
      <c r="S149" s="12">
        <v>540</v>
      </c>
      <c r="T149" s="44">
        <v>540</v>
      </c>
      <c r="U149" s="44">
        <v>540.02</v>
      </c>
    </row>
    <row r="150" spans="1:21" ht="14.45" customHeight="1" x14ac:dyDescent="0.25">
      <c r="A150" s="7" t="s">
        <v>103</v>
      </c>
      <c r="B150" s="148"/>
      <c r="C150" s="148"/>
      <c r="D150" s="164">
        <v>3600</v>
      </c>
      <c r="E150" s="164"/>
      <c r="F150" s="164"/>
      <c r="G150" s="197">
        <f t="shared" si="22"/>
        <v>3600</v>
      </c>
      <c r="H150" s="218"/>
      <c r="I150" s="296"/>
      <c r="J150" s="296"/>
      <c r="K150" s="164">
        <f t="shared" si="20"/>
        <v>775</v>
      </c>
      <c r="L150" s="319"/>
      <c r="M150" s="306">
        <v>2825</v>
      </c>
      <c r="N150" s="206"/>
      <c r="O150" s="74"/>
      <c r="P150" s="75">
        <f t="shared" si="21"/>
        <v>2825</v>
      </c>
      <c r="Q150" s="74"/>
      <c r="R150" s="74"/>
      <c r="S150" s="12">
        <v>7500</v>
      </c>
      <c r="T150" s="44">
        <v>10000</v>
      </c>
      <c r="U150" s="44">
        <v>2352.67</v>
      </c>
    </row>
    <row r="151" spans="1:21" ht="14.45" customHeight="1" x14ac:dyDescent="0.25">
      <c r="A151" s="142" t="s">
        <v>104</v>
      </c>
      <c r="B151" s="293"/>
      <c r="C151" s="293"/>
      <c r="D151" s="176">
        <f>SUM(D139:D150)</f>
        <v>315256.13099999999</v>
      </c>
      <c r="E151" s="176">
        <f>SUM(E139:E150)</f>
        <v>0</v>
      </c>
      <c r="F151" s="176">
        <f>SUM(F139:F150)</f>
        <v>0</v>
      </c>
      <c r="G151" s="176">
        <f>SUM(G139:G150)</f>
        <v>315256.13099999999</v>
      </c>
      <c r="H151" s="224"/>
      <c r="I151" s="224"/>
      <c r="J151" s="224"/>
      <c r="K151" s="294">
        <f>SUM(K135:K150)</f>
        <v>66978.130999999994</v>
      </c>
      <c r="L151" s="327"/>
      <c r="M151" s="294">
        <f>SUM(M139:M150)</f>
        <v>248278</v>
      </c>
      <c r="N151" s="294">
        <f>SUM(N139:N150)</f>
        <v>0</v>
      </c>
      <c r="O151" s="294">
        <f>SUM(O139:O150)</f>
        <v>0</v>
      </c>
      <c r="P151" s="1">
        <f>SUM(M151:O151)</f>
        <v>248278</v>
      </c>
      <c r="Q151" s="76">
        <f>P151/P49</f>
        <v>3.7590767870444949E-2</v>
      </c>
      <c r="R151" s="79">
        <f>P151-S151</f>
        <v>1209</v>
      </c>
      <c r="S151" s="32">
        <v>247069</v>
      </c>
      <c r="T151" s="49">
        <v>245465</v>
      </c>
      <c r="U151" s="49">
        <v>215727.12</v>
      </c>
    </row>
    <row r="152" spans="1:21" ht="15" customHeight="1" x14ac:dyDescent="0.25">
      <c r="A152" s="61"/>
      <c r="B152" s="69"/>
      <c r="C152" s="69"/>
      <c r="D152" s="178"/>
      <c r="E152" s="178"/>
      <c r="F152" s="178"/>
      <c r="G152" s="178"/>
      <c r="H152" s="215"/>
      <c r="I152" s="212"/>
      <c r="J152" s="212"/>
      <c r="K152" s="233"/>
      <c r="L152" s="328"/>
      <c r="M152" s="51"/>
      <c r="N152" s="51"/>
      <c r="O152" s="51"/>
      <c r="P152" s="61"/>
      <c r="Q152" s="61"/>
      <c r="R152" s="68"/>
      <c r="S152" s="69"/>
      <c r="T152" s="69"/>
      <c r="U152" s="69"/>
    </row>
    <row r="153" spans="1:21" ht="29.25" customHeight="1" x14ac:dyDescent="0.25">
      <c r="A153" s="52" t="s">
        <v>105</v>
      </c>
      <c r="B153" s="563"/>
      <c r="C153" s="563"/>
      <c r="D153" s="52"/>
      <c r="E153" s="52"/>
      <c r="F153" s="52"/>
      <c r="G153" s="52"/>
      <c r="H153" s="52"/>
      <c r="I153" s="52"/>
      <c r="J153" s="52"/>
      <c r="K153" s="52"/>
      <c r="L153" s="323"/>
      <c r="M153" s="309"/>
      <c r="N153" s="52"/>
      <c r="O153" s="52"/>
      <c r="P153" s="52"/>
      <c r="Q153" s="52"/>
      <c r="R153" s="52"/>
      <c r="S153" s="52"/>
      <c r="T153" s="52"/>
      <c r="U153" s="52"/>
    </row>
    <row r="154" spans="1:21" ht="14.45" customHeight="1" x14ac:dyDescent="0.25">
      <c r="A154" s="7" t="s">
        <v>106</v>
      </c>
      <c r="B154" s="148"/>
      <c r="C154" s="148"/>
      <c r="D154" s="254">
        <v>20555</v>
      </c>
      <c r="E154" s="164"/>
      <c r="F154" s="164"/>
      <c r="G154" s="197">
        <f t="shared" ref="G154:G157" si="23">+F154+E154+D154</f>
        <v>20555</v>
      </c>
      <c r="H154" s="218"/>
      <c r="I154" s="296"/>
      <c r="J154" s="296"/>
      <c r="K154" s="164">
        <f>+G154-P154</f>
        <v>-15394.849999999999</v>
      </c>
      <c r="L154" s="364"/>
      <c r="M154" s="204">
        <v>35949.85</v>
      </c>
      <c r="N154" s="105"/>
      <c r="O154" s="9"/>
      <c r="P154" s="67">
        <f>M154+N154+O154</f>
        <v>35949.85</v>
      </c>
      <c r="Q154" s="9"/>
      <c r="R154" s="9"/>
      <c r="S154" s="12">
        <v>20000</v>
      </c>
      <c r="T154" s="44">
        <v>33000</v>
      </c>
      <c r="U154" s="44">
        <v>30835.26</v>
      </c>
    </row>
    <row r="155" spans="1:21" ht="14.45" customHeight="1" x14ac:dyDescent="0.25">
      <c r="A155" s="7" t="s">
        <v>107</v>
      </c>
      <c r="B155" s="148"/>
      <c r="C155" s="148"/>
      <c r="D155" s="164"/>
      <c r="E155" s="164"/>
      <c r="F155" s="164"/>
      <c r="G155" s="197">
        <f t="shared" si="23"/>
        <v>0</v>
      </c>
      <c r="H155" s="218"/>
      <c r="I155" s="296"/>
      <c r="J155" s="296"/>
      <c r="K155" s="164">
        <f t="shared" ref="K155:K157" si="24">+G155-P155</f>
        <v>0</v>
      </c>
      <c r="L155" s="364"/>
      <c r="M155" s="105"/>
      <c r="N155" s="204"/>
      <c r="O155" s="9"/>
      <c r="P155" s="67">
        <f t="shared" ref="P155:P158" si="25">M155+N155+O155</f>
        <v>0</v>
      </c>
      <c r="Q155" s="9"/>
      <c r="R155" s="9"/>
      <c r="S155" s="12">
        <v>5000</v>
      </c>
      <c r="T155" s="44">
        <v>9500</v>
      </c>
      <c r="U155" s="44">
        <v>0</v>
      </c>
    </row>
    <row r="156" spans="1:21" ht="14.45" customHeight="1" x14ac:dyDescent="0.25">
      <c r="A156" s="7" t="s">
        <v>108</v>
      </c>
      <c r="B156" s="148"/>
      <c r="C156" s="148"/>
      <c r="D156" s="164">
        <v>51000</v>
      </c>
      <c r="E156" s="164"/>
      <c r="F156" s="164"/>
      <c r="G156" s="197">
        <f t="shared" si="23"/>
        <v>51000</v>
      </c>
      <c r="H156" s="218"/>
      <c r="I156" s="296"/>
      <c r="J156" s="296"/>
      <c r="K156" s="164">
        <f t="shared" si="24"/>
        <v>1000</v>
      </c>
      <c r="L156" s="364"/>
      <c r="M156" s="105">
        <v>50000</v>
      </c>
      <c r="N156" s="105"/>
      <c r="O156" s="9"/>
      <c r="P156" s="67">
        <f t="shared" si="25"/>
        <v>50000</v>
      </c>
      <c r="Q156" s="9"/>
      <c r="R156" s="9"/>
      <c r="S156" s="12">
        <v>50000</v>
      </c>
      <c r="T156" s="44">
        <v>60000</v>
      </c>
      <c r="U156" s="44">
        <v>41661.5</v>
      </c>
    </row>
    <row r="157" spans="1:21" ht="12.75" customHeight="1" x14ac:dyDescent="0.25">
      <c r="A157" s="145" t="s">
        <v>109</v>
      </c>
      <c r="B157" s="539"/>
      <c r="C157" s="554"/>
      <c r="D157" s="169"/>
      <c r="E157" s="169"/>
      <c r="F157" s="169"/>
      <c r="G157" s="197">
        <f t="shared" si="23"/>
        <v>0</v>
      </c>
      <c r="H157" s="218"/>
      <c r="I157" s="296"/>
      <c r="J157" s="296"/>
      <c r="K157" s="164">
        <f t="shared" si="24"/>
        <v>0</v>
      </c>
      <c r="L157" s="364"/>
      <c r="M157" s="105"/>
      <c r="N157" s="204"/>
      <c r="O157" s="9"/>
      <c r="P157" s="9">
        <f t="shared" si="25"/>
        <v>0</v>
      </c>
      <c r="Q157" s="9"/>
      <c r="R157" s="9"/>
      <c r="S157" s="12">
        <v>2500</v>
      </c>
      <c r="T157" s="44">
        <v>2500</v>
      </c>
      <c r="U157" s="44">
        <v>0</v>
      </c>
    </row>
    <row r="158" spans="1:21" ht="14.45" hidden="1" customHeight="1" x14ac:dyDescent="0.25">
      <c r="A158" s="7" t="s">
        <v>110</v>
      </c>
      <c r="B158" s="148"/>
      <c r="C158" s="148"/>
      <c r="D158" s="164"/>
      <c r="E158" s="164"/>
      <c r="F158" s="164"/>
      <c r="G158" s="194"/>
      <c r="H158" s="218"/>
      <c r="I158" s="218"/>
      <c r="J158" s="218"/>
      <c r="K158" s="164"/>
      <c r="L158" s="364"/>
      <c r="M158" s="105"/>
      <c r="N158" s="105"/>
      <c r="O158" s="9"/>
      <c r="P158" s="9">
        <f t="shared" si="25"/>
        <v>0</v>
      </c>
      <c r="Q158" s="9"/>
      <c r="R158" s="9"/>
      <c r="S158" s="12">
        <v>0</v>
      </c>
      <c r="T158" s="44">
        <v>0</v>
      </c>
      <c r="U158" s="44">
        <v>498.81</v>
      </c>
    </row>
    <row r="159" spans="1:21" ht="14.45" customHeight="1" x14ac:dyDescent="0.25">
      <c r="A159" s="142" t="s">
        <v>111</v>
      </c>
      <c r="B159" s="293"/>
      <c r="C159" s="293"/>
      <c r="D159" s="271">
        <f>SUM(D154:D158)</f>
        <v>71555</v>
      </c>
      <c r="E159" s="271">
        <f>SUM(E154:E158)</f>
        <v>0</v>
      </c>
      <c r="F159" s="271">
        <f>SUM(F154:F158)</f>
        <v>0</v>
      </c>
      <c r="G159" s="273">
        <f>SUM(G154:G158)</f>
        <v>71555</v>
      </c>
      <c r="H159" s="225"/>
      <c r="I159" s="225"/>
      <c r="J159" s="225"/>
      <c r="K159" s="271">
        <f>SUM(K154:K158)</f>
        <v>-14394.849999999999</v>
      </c>
      <c r="L159" s="366"/>
      <c r="M159" s="205">
        <f>SUM(M154:M158)</f>
        <v>85949.85</v>
      </c>
      <c r="N159" s="205">
        <f t="shared" ref="N159:O159" si="26">SUM(N154:N158)</f>
        <v>0</v>
      </c>
      <c r="O159" s="45">
        <f t="shared" si="26"/>
        <v>0</v>
      </c>
      <c r="P159" s="45">
        <f>SUM(M159:O159)</f>
        <v>85949.85</v>
      </c>
      <c r="Q159" s="60">
        <f>P159/P49</f>
        <v>1.3013319181923342E-2</v>
      </c>
      <c r="R159" s="46">
        <f>P159-S159</f>
        <v>8449.8500000000058</v>
      </c>
      <c r="S159" s="32">
        <f>SUM(S154:S158)</f>
        <v>77500</v>
      </c>
      <c r="T159" s="49">
        <f>SUM(T154:T158)</f>
        <v>105000</v>
      </c>
      <c r="U159" s="49">
        <f>SUM(U154:U158)</f>
        <v>72995.569999999992</v>
      </c>
    </row>
    <row r="160" spans="1:21" ht="15" customHeight="1" x14ac:dyDescent="0.25">
      <c r="A160" s="70"/>
      <c r="B160" s="546"/>
      <c r="C160" s="546"/>
      <c r="D160" s="179"/>
      <c r="E160" s="179"/>
      <c r="F160" s="179"/>
      <c r="G160" s="179"/>
      <c r="H160" s="218"/>
      <c r="I160" s="232"/>
      <c r="J160" s="232"/>
      <c r="K160" s="233"/>
      <c r="L160" s="324"/>
      <c r="M160" s="71"/>
      <c r="N160" s="71"/>
      <c r="O160" s="71"/>
      <c r="P160" s="70"/>
      <c r="Q160" s="70"/>
      <c r="R160" s="72"/>
      <c r="S160" s="73"/>
      <c r="T160" s="73"/>
      <c r="U160" s="73"/>
    </row>
    <row r="161" spans="1:23" ht="30.75" customHeight="1" x14ac:dyDescent="0.25">
      <c r="A161" s="146" t="s">
        <v>112</v>
      </c>
      <c r="B161" s="564"/>
      <c r="C161" s="564"/>
      <c r="D161" s="146"/>
      <c r="E161" s="146"/>
      <c r="F161" s="146"/>
      <c r="G161" s="146"/>
      <c r="H161" s="146"/>
      <c r="I161" s="146"/>
      <c r="J161" s="146"/>
      <c r="K161" s="146"/>
      <c r="L161" s="323"/>
      <c r="M161" s="309"/>
      <c r="N161" s="78"/>
      <c r="O161" s="78"/>
      <c r="P161" s="53"/>
      <c r="Q161" s="53"/>
      <c r="R161" s="147"/>
      <c r="S161" s="147"/>
      <c r="T161" s="54"/>
      <c r="U161" s="66"/>
    </row>
    <row r="162" spans="1:23" ht="18.75" customHeight="1" x14ac:dyDescent="0.25">
      <c r="A162" s="148" t="s">
        <v>73</v>
      </c>
      <c r="B162" s="148"/>
      <c r="C162" s="148"/>
      <c r="D162" s="254">
        <f>+M162*V$162</f>
        <v>407421.65</v>
      </c>
      <c r="E162" s="164"/>
      <c r="F162" s="164"/>
      <c r="G162" s="197">
        <f t="shared" ref="G162:G179" si="27">+F162+E162+D162</f>
        <v>407421.65</v>
      </c>
      <c r="H162" s="218"/>
      <c r="I162" s="296"/>
      <c r="J162" s="296"/>
      <c r="K162" s="164">
        <f t="shared" ref="K162:K179" si="28">+G162-P162</f>
        <v>11866.650000000023</v>
      </c>
      <c r="L162" s="364"/>
      <c r="M162" s="105">
        <v>395555</v>
      </c>
      <c r="N162" s="105"/>
      <c r="O162" s="9"/>
      <c r="P162" s="67">
        <f>M162+N162+O162</f>
        <v>395555</v>
      </c>
      <c r="Q162" s="9"/>
      <c r="R162" s="9"/>
      <c r="S162" s="12">
        <v>390403</v>
      </c>
      <c r="T162" s="44">
        <v>316631</v>
      </c>
      <c r="U162" s="44">
        <v>337777.46</v>
      </c>
      <c r="V162" s="3">
        <v>1.03</v>
      </c>
      <c r="W162" s="498" t="s">
        <v>545</v>
      </c>
    </row>
    <row r="163" spans="1:23" ht="14.45" customHeight="1" x14ac:dyDescent="0.25">
      <c r="A163" s="148" t="s">
        <v>75</v>
      </c>
      <c r="B163" s="148"/>
      <c r="C163" s="148"/>
      <c r="D163" s="254">
        <f t="shared" ref="D163:D168" si="29">+M163*V$162</f>
        <v>22397.350000000002</v>
      </c>
      <c r="E163" s="164"/>
      <c r="F163" s="164"/>
      <c r="G163" s="197">
        <f t="shared" si="27"/>
        <v>22397.350000000002</v>
      </c>
      <c r="H163" s="218"/>
      <c r="I163" s="296"/>
      <c r="J163" s="296"/>
      <c r="K163" s="164">
        <f t="shared" si="28"/>
        <v>652.35000000000218</v>
      </c>
      <c r="L163" s="364"/>
      <c r="M163" s="105">
        <v>21745</v>
      </c>
      <c r="N163" s="105"/>
      <c r="O163" s="9"/>
      <c r="P163" s="67">
        <f t="shared" ref="P163:P179" si="30">M163+N163+O163</f>
        <v>21745</v>
      </c>
      <c r="Q163" s="9"/>
      <c r="R163" s="9"/>
      <c r="S163" s="12">
        <v>22094</v>
      </c>
      <c r="T163" s="44">
        <v>23731</v>
      </c>
      <c r="U163" s="44">
        <v>19222.45</v>
      </c>
    </row>
    <row r="164" spans="1:23" ht="14.45" hidden="1" customHeight="1" x14ac:dyDescent="0.25">
      <c r="A164" s="148" t="s">
        <v>113</v>
      </c>
      <c r="B164" s="148"/>
      <c r="C164" s="148"/>
      <c r="D164" s="254">
        <f t="shared" si="29"/>
        <v>0</v>
      </c>
      <c r="E164" s="164"/>
      <c r="F164" s="164"/>
      <c r="G164" s="197">
        <f t="shared" si="27"/>
        <v>0</v>
      </c>
      <c r="H164" s="218"/>
      <c r="I164" s="296"/>
      <c r="J164" s="296"/>
      <c r="K164" s="164">
        <f t="shared" si="28"/>
        <v>0</v>
      </c>
      <c r="L164" s="364"/>
      <c r="M164" s="105"/>
      <c r="N164" s="105"/>
      <c r="O164" s="9"/>
      <c r="P164" s="67">
        <f t="shared" si="30"/>
        <v>0</v>
      </c>
      <c r="Q164" s="9"/>
      <c r="R164" s="9"/>
      <c r="S164" s="12">
        <v>0</v>
      </c>
      <c r="T164" s="44">
        <v>3999</v>
      </c>
      <c r="U164" s="44">
        <v>6152.28</v>
      </c>
    </row>
    <row r="165" spans="1:23" ht="14.45" customHeight="1" x14ac:dyDescent="0.25">
      <c r="A165" s="148" t="s">
        <v>55</v>
      </c>
      <c r="B165" s="148"/>
      <c r="C165" s="148"/>
      <c r="D165" s="254">
        <f>+M165*V165</f>
        <v>53075.88</v>
      </c>
      <c r="E165" s="164"/>
      <c r="F165" s="164"/>
      <c r="G165" s="197">
        <f t="shared" si="27"/>
        <v>53075.88</v>
      </c>
      <c r="H165" s="218"/>
      <c r="I165" s="296"/>
      <c r="J165" s="296"/>
      <c r="K165" s="164">
        <f t="shared" si="28"/>
        <v>1595.8799999999974</v>
      </c>
      <c r="L165" s="364"/>
      <c r="M165" s="105">
        <v>51480</v>
      </c>
      <c r="N165" s="105"/>
      <c r="O165" s="9"/>
      <c r="P165" s="67">
        <f t="shared" si="30"/>
        <v>51480</v>
      </c>
      <c r="Q165" s="9"/>
      <c r="R165" s="9"/>
      <c r="S165" s="12">
        <v>30127</v>
      </c>
      <c r="T165" s="44">
        <v>36451</v>
      </c>
      <c r="U165" s="44">
        <v>36522.43</v>
      </c>
      <c r="V165" s="3">
        <v>1.0309999999999999</v>
      </c>
    </row>
    <row r="166" spans="1:23" ht="14.45" customHeight="1" x14ac:dyDescent="0.25">
      <c r="A166" s="148" t="s">
        <v>114</v>
      </c>
      <c r="B166" s="148"/>
      <c r="C166" s="148"/>
      <c r="D166" s="254">
        <f t="shared" si="29"/>
        <v>8240</v>
      </c>
      <c r="E166" s="181"/>
      <c r="F166" s="181"/>
      <c r="G166" s="197">
        <f t="shared" si="27"/>
        <v>8240</v>
      </c>
      <c r="H166" s="221"/>
      <c r="I166" s="442"/>
      <c r="J166" s="442"/>
      <c r="K166" s="164">
        <f t="shared" si="28"/>
        <v>240</v>
      </c>
      <c r="L166" s="368"/>
      <c r="M166" s="204">
        <v>8000</v>
      </c>
      <c r="N166" s="105"/>
      <c r="O166" s="9"/>
      <c r="P166" s="67">
        <f t="shared" si="30"/>
        <v>8000</v>
      </c>
      <c r="Q166" s="9"/>
      <c r="R166" s="9"/>
      <c r="S166" s="12">
        <v>4000</v>
      </c>
      <c r="T166" s="44">
        <v>4800</v>
      </c>
      <c r="U166" s="44">
        <v>4244.68</v>
      </c>
    </row>
    <row r="167" spans="1:23" ht="14.45" customHeight="1" x14ac:dyDescent="0.25">
      <c r="A167" s="148" t="s">
        <v>115</v>
      </c>
      <c r="B167" s="148"/>
      <c r="C167" s="148"/>
      <c r="D167" s="254">
        <f t="shared" si="29"/>
        <v>1784.99</v>
      </c>
      <c r="E167" s="164"/>
      <c r="F167" s="164"/>
      <c r="G167" s="197">
        <f t="shared" si="27"/>
        <v>1784.99</v>
      </c>
      <c r="H167" s="218"/>
      <c r="I167" s="296"/>
      <c r="J167" s="296"/>
      <c r="K167" s="164">
        <f t="shared" si="28"/>
        <v>51.990000000000009</v>
      </c>
      <c r="L167" s="364"/>
      <c r="M167" s="105">
        <v>1733</v>
      </c>
      <c r="N167" s="105"/>
      <c r="O167" s="9"/>
      <c r="P167" s="67">
        <f t="shared" si="30"/>
        <v>1733</v>
      </c>
      <c r="Q167" s="9"/>
      <c r="R167" s="9"/>
      <c r="S167" s="12">
        <v>1747</v>
      </c>
      <c r="T167" s="44">
        <v>0</v>
      </c>
      <c r="U167" s="44">
        <v>1562.65</v>
      </c>
    </row>
    <row r="168" spans="1:23" ht="14.45" customHeight="1" x14ac:dyDescent="0.25">
      <c r="A168" s="153" t="s">
        <v>59</v>
      </c>
      <c r="B168" s="153"/>
      <c r="C168" s="153"/>
      <c r="D168" s="254">
        <f t="shared" si="29"/>
        <v>48138.080000000002</v>
      </c>
      <c r="E168" s="183"/>
      <c r="F168" s="183"/>
      <c r="G168" s="197">
        <f t="shared" si="27"/>
        <v>48138.080000000002</v>
      </c>
      <c r="H168" s="227"/>
      <c r="I168" s="444"/>
      <c r="J168" s="444"/>
      <c r="K168" s="164">
        <f t="shared" si="28"/>
        <v>1402.0800000000017</v>
      </c>
      <c r="L168" s="369"/>
      <c r="M168" s="105">
        <v>46736</v>
      </c>
      <c r="N168" s="105"/>
      <c r="O168" s="9"/>
      <c r="P168" s="67">
        <f t="shared" si="30"/>
        <v>46736</v>
      </c>
      <c r="Q168" s="9"/>
      <c r="R168" s="9"/>
      <c r="S168" s="12">
        <v>45417</v>
      </c>
      <c r="T168" s="44">
        <v>27919</v>
      </c>
      <c r="U168" s="44">
        <v>36778.29</v>
      </c>
    </row>
    <row r="169" spans="1:23" ht="14.45" hidden="1" customHeight="1" x14ac:dyDescent="0.25">
      <c r="A169" s="7" t="s">
        <v>60</v>
      </c>
      <c r="B169" s="148"/>
      <c r="C169" s="148"/>
      <c r="D169" s="164"/>
      <c r="E169" s="164"/>
      <c r="F169" s="164"/>
      <c r="G169" s="197">
        <f t="shared" si="27"/>
        <v>0</v>
      </c>
      <c r="H169" s="218"/>
      <c r="I169" s="296"/>
      <c r="J169" s="296"/>
      <c r="K169" s="164">
        <f t="shared" si="28"/>
        <v>0</v>
      </c>
      <c r="L169" s="364"/>
      <c r="M169" s="105"/>
      <c r="N169" s="105"/>
      <c r="O169" s="9"/>
      <c r="P169" s="67">
        <f t="shared" si="30"/>
        <v>0</v>
      </c>
      <c r="Q169" s="9"/>
      <c r="R169" s="9"/>
      <c r="S169" s="12">
        <v>0</v>
      </c>
      <c r="T169" s="44">
        <v>1241</v>
      </c>
      <c r="U169" s="44">
        <v>716.62</v>
      </c>
    </row>
    <row r="170" spans="1:23" ht="14.45" customHeight="1" x14ac:dyDescent="0.25">
      <c r="A170" s="7" t="s">
        <v>96</v>
      </c>
      <c r="B170" s="148"/>
      <c r="C170" s="148"/>
      <c r="D170" s="164">
        <v>1500</v>
      </c>
      <c r="E170" s="164"/>
      <c r="F170" s="164"/>
      <c r="G170" s="197">
        <f t="shared" si="27"/>
        <v>1500</v>
      </c>
      <c r="H170" s="218"/>
      <c r="I170" s="296"/>
      <c r="J170" s="296"/>
      <c r="K170" s="164">
        <f t="shared" si="28"/>
        <v>0</v>
      </c>
      <c r="L170" s="364"/>
      <c r="M170" s="105">
        <v>1500</v>
      </c>
      <c r="N170" s="105"/>
      <c r="O170" s="9"/>
      <c r="P170" s="67">
        <f t="shared" si="30"/>
        <v>1500</v>
      </c>
      <c r="Q170" s="9"/>
      <c r="R170" s="9"/>
      <c r="S170" s="12">
        <v>1500</v>
      </c>
      <c r="T170" s="44">
        <v>200</v>
      </c>
      <c r="U170" s="44">
        <v>899.95</v>
      </c>
    </row>
    <row r="171" spans="1:23" ht="14.45" hidden="1" customHeight="1" x14ac:dyDescent="0.25">
      <c r="A171" s="7" t="s">
        <v>63</v>
      </c>
      <c r="B171" s="148"/>
      <c r="C171" s="148"/>
      <c r="D171" s="164"/>
      <c r="E171" s="164"/>
      <c r="F171" s="164"/>
      <c r="G171" s="197">
        <f t="shared" si="27"/>
        <v>0</v>
      </c>
      <c r="H171" s="218"/>
      <c r="I171" s="296"/>
      <c r="J171" s="296"/>
      <c r="K171" s="164">
        <f t="shared" si="28"/>
        <v>0</v>
      </c>
      <c r="L171" s="364"/>
      <c r="M171" s="105"/>
      <c r="N171" s="105"/>
      <c r="O171" s="9"/>
      <c r="P171" s="67">
        <f t="shared" si="30"/>
        <v>0</v>
      </c>
      <c r="Q171" s="9"/>
      <c r="R171" s="9"/>
      <c r="S171" s="12">
        <v>0</v>
      </c>
      <c r="T171" s="44">
        <v>1000</v>
      </c>
      <c r="U171" s="44">
        <v>1356.33</v>
      </c>
    </row>
    <row r="172" spans="1:23" ht="14.45" customHeight="1" x14ac:dyDescent="0.25">
      <c r="A172" s="7" t="s">
        <v>64</v>
      </c>
      <c r="B172" s="148"/>
      <c r="C172" s="148"/>
      <c r="D172" s="164">
        <v>500</v>
      </c>
      <c r="E172" s="164"/>
      <c r="F172" s="164"/>
      <c r="G172" s="197">
        <f t="shared" si="27"/>
        <v>500</v>
      </c>
      <c r="H172" s="218"/>
      <c r="I172" s="296"/>
      <c r="J172" s="296"/>
      <c r="K172" s="164">
        <f t="shared" si="28"/>
        <v>0</v>
      </c>
      <c r="L172" s="364"/>
      <c r="M172" s="105">
        <v>500</v>
      </c>
      <c r="N172" s="105"/>
      <c r="O172" s="9"/>
      <c r="P172" s="67">
        <f t="shared" si="30"/>
        <v>500</v>
      </c>
      <c r="Q172" s="9"/>
      <c r="R172" s="9"/>
      <c r="S172" s="12">
        <v>500</v>
      </c>
      <c r="T172" s="44">
        <v>200</v>
      </c>
      <c r="U172" s="44">
        <v>161.36000000000001</v>
      </c>
    </row>
    <row r="173" spans="1:23" ht="14.45" customHeight="1" x14ac:dyDescent="0.25">
      <c r="A173" s="7" t="s">
        <v>65</v>
      </c>
      <c r="B173" s="148"/>
      <c r="C173" s="148"/>
      <c r="D173" s="164">
        <v>10000</v>
      </c>
      <c r="E173" s="164"/>
      <c r="F173" s="164"/>
      <c r="G173" s="197">
        <f t="shared" si="27"/>
        <v>10000</v>
      </c>
      <c r="H173" s="218"/>
      <c r="I173" s="296"/>
      <c r="J173" s="296"/>
      <c r="K173" s="164">
        <f t="shared" si="28"/>
        <v>0</v>
      </c>
      <c r="L173" s="364"/>
      <c r="M173" s="105">
        <v>10000</v>
      </c>
      <c r="N173" s="105"/>
      <c r="O173" s="9"/>
      <c r="P173" s="67">
        <f t="shared" si="30"/>
        <v>10000</v>
      </c>
      <c r="Q173" s="9"/>
      <c r="R173" s="9"/>
      <c r="S173" s="12">
        <v>10000</v>
      </c>
      <c r="T173" s="44">
        <v>8060</v>
      </c>
      <c r="U173" s="44">
        <v>6936.92</v>
      </c>
    </row>
    <row r="174" spans="1:23" ht="14.45" customHeight="1" x14ac:dyDescent="0.25">
      <c r="A174" s="7" t="s">
        <v>116</v>
      </c>
      <c r="B174" s="148"/>
      <c r="C174" s="148"/>
      <c r="D174" s="164">
        <v>22000</v>
      </c>
      <c r="E174" s="164"/>
      <c r="F174" s="164"/>
      <c r="G174" s="197">
        <f t="shared" si="27"/>
        <v>22000</v>
      </c>
      <c r="H174" s="218"/>
      <c r="I174" s="296"/>
      <c r="J174" s="296"/>
      <c r="K174" s="164">
        <f t="shared" si="28"/>
        <v>1000</v>
      </c>
      <c r="L174" s="364"/>
      <c r="M174" s="105">
        <v>21000</v>
      </c>
      <c r="N174" s="105"/>
      <c r="O174" s="9"/>
      <c r="P174" s="67">
        <f t="shared" si="30"/>
        <v>21000</v>
      </c>
      <c r="Q174" s="9"/>
      <c r="R174" s="9"/>
      <c r="S174" s="12">
        <v>21000</v>
      </c>
      <c r="T174" s="44">
        <v>23000</v>
      </c>
      <c r="U174" s="44">
        <v>20715.419999999998</v>
      </c>
    </row>
    <row r="175" spans="1:23" ht="14.45" hidden="1" customHeight="1" x14ac:dyDescent="0.25">
      <c r="A175" s="7" t="s">
        <v>78</v>
      </c>
      <c r="B175" s="148"/>
      <c r="C175" s="148"/>
      <c r="D175" s="164"/>
      <c r="E175" s="164"/>
      <c r="F175" s="164"/>
      <c r="G175" s="197">
        <f t="shared" si="27"/>
        <v>0</v>
      </c>
      <c r="H175" s="218"/>
      <c r="I175" s="296"/>
      <c r="J175" s="296"/>
      <c r="K175" s="164">
        <f t="shared" si="28"/>
        <v>0</v>
      </c>
      <c r="L175" s="364"/>
      <c r="M175" s="105"/>
      <c r="N175" s="105"/>
      <c r="O175" s="9"/>
      <c r="P175" s="67">
        <f t="shared" si="30"/>
        <v>0</v>
      </c>
      <c r="Q175" s="9"/>
      <c r="R175" s="9"/>
      <c r="S175" s="12">
        <v>0</v>
      </c>
      <c r="T175" s="44">
        <v>0</v>
      </c>
      <c r="U175" s="44">
        <v>106.72</v>
      </c>
    </row>
    <row r="176" spans="1:23" ht="14.45" customHeight="1" x14ac:dyDescent="0.25">
      <c r="A176" s="7" t="s">
        <v>67</v>
      </c>
      <c r="B176" s="148"/>
      <c r="C176" s="148"/>
      <c r="D176" s="164">
        <v>750</v>
      </c>
      <c r="E176" s="164"/>
      <c r="F176" s="164"/>
      <c r="G176" s="197">
        <f t="shared" si="27"/>
        <v>750</v>
      </c>
      <c r="H176" s="218"/>
      <c r="I176" s="296"/>
      <c r="J176" s="296"/>
      <c r="K176" s="164">
        <f t="shared" si="28"/>
        <v>0</v>
      </c>
      <c r="L176" s="364"/>
      <c r="M176" s="105">
        <v>750</v>
      </c>
      <c r="N176" s="105"/>
      <c r="O176" s="9"/>
      <c r="P176" s="67">
        <f t="shared" si="30"/>
        <v>750</v>
      </c>
      <c r="Q176" s="9"/>
      <c r="R176" s="9"/>
      <c r="S176" s="12">
        <v>1000</v>
      </c>
      <c r="T176" s="44">
        <v>0</v>
      </c>
      <c r="U176" s="44">
        <v>2076.39</v>
      </c>
    </row>
    <row r="177" spans="1:23" ht="14.45" customHeight="1" x14ac:dyDescent="0.25">
      <c r="A177" s="7" t="s">
        <v>117</v>
      </c>
      <c r="B177" s="148"/>
      <c r="C177" s="148"/>
      <c r="D177" s="164">
        <v>4000</v>
      </c>
      <c r="E177" s="164"/>
      <c r="F177" s="164"/>
      <c r="G177" s="197">
        <f t="shared" si="27"/>
        <v>4000</v>
      </c>
      <c r="H177" s="218"/>
      <c r="I177" s="296"/>
      <c r="J177" s="296"/>
      <c r="K177" s="164">
        <f t="shared" si="28"/>
        <v>0</v>
      </c>
      <c r="L177" s="364"/>
      <c r="M177" s="105">
        <v>4000</v>
      </c>
      <c r="N177" s="105"/>
      <c r="O177" s="9"/>
      <c r="P177" s="67">
        <f t="shared" si="30"/>
        <v>4000</v>
      </c>
      <c r="Q177" s="9"/>
      <c r="R177" s="9"/>
      <c r="S177" s="12">
        <v>4000</v>
      </c>
      <c r="T177" s="44">
        <v>4000</v>
      </c>
      <c r="U177" s="44">
        <v>2395.85</v>
      </c>
    </row>
    <row r="178" spans="1:23" ht="14.45" customHeight="1" x14ac:dyDescent="0.25">
      <c r="A178" s="7" t="s">
        <v>79</v>
      </c>
      <c r="B178" s="148"/>
      <c r="C178" s="148"/>
      <c r="D178" s="164">
        <v>150</v>
      </c>
      <c r="E178" s="164"/>
      <c r="F178" s="164"/>
      <c r="G178" s="197">
        <f t="shared" si="27"/>
        <v>150</v>
      </c>
      <c r="H178" s="218"/>
      <c r="I178" s="296"/>
      <c r="J178" s="296"/>
      <c r="K178" s="164">
        <f t="shared" si="28"/>
        <v>50</v>
      </c>
      <c r="L178" s="364"/>
      <c r="M178" s="105">
        <v>100</v>
      </c>
      <c r="N178" s="105"/>
      <c r="O178" s="9"/>
      <c r="P178" s="67">
        <f t="shared" si="30"/>
        <v>100</v>
      </c>
      <c r="Q178" s="9"/>
      <c r="R178" s="9"/>
      <c r="S178" s="12">
        <v>100</v>
      </c>
      <c r="T178" s="44">
        <v>0</v>
      </c>
      <c r="U178" s="44">
        <v>7.08</v>
      </c>
    </row>
    <row r="179" spans="1:23" ht="14.45" customHeight="1" x14ac:dyDescent="0.25">
      <c r="A179" s="7" t="s">
        <v>70</v>
      </c>
      <c r="B179" s="148"/>
      <c r="C179" s="148"/>
      <c r="D179" s="164">
        <v>0</v>
      </c>
      <c r="E179" s="164"/>
      <c r="F179" s="164"/>
      <c r="G179" s="197">
        <f t="shared" si="27"/>
        <v>0</v>
      </c>
      <c r="H179" s="218"/>
      <c r="I179" s="296"/>
      <c r="J179" s="296"/>
      <c r="K179" s="164">
        <f t="shared" si="28"/>
        <v>-540</v>
      </c>
      <c r="L179" s="364"/>
      <c r="M179" s="105">
        <v>540</v>
      </c>
      <c r="N179" s="105"/>
      <c r="O179" s="9"/>
      <c r="P179" s="67">
        <f t="shared" si="30"/>
        <v>540</v>
      </c>
      <c r="Q179" s="9"/>
      <c r="R179" s="9"/>
      <c r="S179" s="12">
        <v>540</v>
      </c>
      <c r="T179" s="44">
        <v>540</v>
      </c>
      <c r="U179" s="44">
        <v>540.02</v>
      </c>
    </row>
    <row r="180" spans="1:23" ht="14.45" customHeight="1" x14ac:dyDescent="0.25">
      <c r="A180" s="142" t="s">
        <v>118</v>
      </c>
      <c r="B180" s="293"/>
      <c r="C180" s="293"/>
      <c r="D180" s="271">
        <f>SUM(D162:D179)</f>
        <v>579957.94999999995</v>
      </c>
      <c r="E180" s="271">
        <f>SUM(E162:E179)</f>
        <v>0</v>
      </c>
      <c r="F180" s="271">
        <f>SUM(F162:F179)</f>
        <v>0</v>
      </c>
      <c r="G180" s="273">
        <f>SUM(G162:G179)</f>
        <v>579957.94999999995</v>
      </c>
      <c r="H180" s="225"/>
      <c r="I180" s="225"/>
      <c r="J180" s="225"/>
      <c r="K180" s="225">
        <f>SUM(K162:K179)</f>
        <v>16318.950000000026</v>
      </c>
      <c r="L180" s="366"/>
      <c r="M180" s="205">
        <f>SUM(M162:M179)</f>
        <v>563639</v>
      </c>
      <c r="N180" s="205">
        <f t="shared" ref="N180:O180" si="31">SUM(N162:N179)</f>
        <v>0</v>
      </c>
      <c r="O180" s="45">
        <f t="shared" si="31"/>
        <v>0</v>
      </c>
      <c r="P180" s="45">
        <f>SUM(M180:O180)</f>
        <v>563639</v>
      </c>
      <c r="Q180" s="60">
        <f>P180/P49</f>
        <v>8.5338301467426519E-2</v>
      </c>
      <c r="R180" s="46">
        <f>P180-S180</f>
        <v>31211</v>
      </c>
      <c r="S180" s="32">
        <v>532428</v>
      </c>
      <c r="T180" s="49">
        <v>451772</v>
      </c>
      <c r="U180" s="49">
        <v>478172.9</v>
      </c>
    </row>
    <row r="181" spans="1:23" ht="15" customHeight="1" x14ac:dyDescent="0.25">
      <c r="A181" s="126"/>
      <c r="B181" s="545"/>
      <c r="C181" s="545"/>
      <c r="D181" s="184"/>
      <c r="E181" s="184"/>
      <c r="F181" s="184"/>
      <c r="G181" s="184"/>
      <c r="H181" s="224"/>
      <c r="I181" s="437"/>
      <c r="J181" s="437"/>
      <c r="K181" s="233"/>
      <c r="L181" s="331"/>
      <c r="M181" s="127"/>
      <c r="N181" s="121"/>
      <c r="O181" s="121"/>
      <c r="P181" s="121"/>
      <c r="Q181" s="122"/>
      <c r="R181" s="128"/>
      <c r="S181" s="129"/>
      <c r="T181" s="37"/>
      <c r="U181" s="37"/>
    </row>
    <row r="182" spans="1:23" ht="28.5" customHeight="1" x14ac:dyDescent="0.25">
      <c r="A182" s="146" t="s">
        <v>119</v>
      </c>
      <c r="B182" s="564"/>
      <c r="C182" s="564"/>
      <c r="D182" s="146"/>
      <c r="E182" s="146"/>
      <c r="F182" s="146"/>
      <c r="G182" s="146"/>
      <c r="H182" s="146"/>
      <c r="I182" s="146"/>
      <c r="J182" s="146"/>
      <c r="K182" s="146"/>
      <c r="L182" s="323"/>
      <c r="M182" s="310"/>
      <c r="N182" s="78"/>
      <c r="O182" s="78"/>
      <c r="P182" s="53"/>
      <c r="Q182" s="53"/>
      <c r="R182" s="147"/>
      <c r="S182" s="147"/>
      <c r="T182" s="54"/>
      <c r="U182" s="80"/>
    </row>
    <row r="183" spans="1:23" ht="14.45" customHeight="1" x14ac:dyDescent="0.25">
      <c r="A183" s="148" t="s">
        <v>120</v>
      </c>
      <c r="B183" s="148"/>
      <c r="C183" s="148"/>
      <c r="D183" s="254">
        <v>20000</v>
      </c>
      <c r="E183" s="181"/>
      <c r="F183" s="181"/>
      <c r="G183" s="197">
        <f t="shared" ref="G183:G196" si="32">+F183+E183+D183</f>
        <v>20000</v>
      </c>
      <c r="H183" s="221"/>
      <c r="I183" s="442"/>
      <c r="J183" s="442"/>
      <c r="K183" s="164">
        <f t="shared" ref="K183:K196" si="33">+G183-P183</f>
        <v>-10000</v>
      </c>
      <c r="L183" s="368"/>
      <c r="M183" s="204">
        <v>30000</v>
      </c>
      <c r="N183" s="105"/>
      <c r="O183" s="9"/>
      <c r="P183" s="67">
        <f>M183+N183+O183</f>
        <v>30000</v>
      </c>
      <c r="Q183" s="9"/>
      <c r="R183" s="9"/>
      <c r="S183" s="12">
        <v>130492</v>
      </c>
      <c r="T183" s="44">
        <v>38973</v>
      </c>
      <c r="U183" s="44">
        <v>32194.400000000001</v>
      </c>
    </row>
    <row r="184" spans="1:23" ht="14.45" customHeight="1" x14ac:dyDescent="0.25">
      <c r="A184" s="148" t="s">
        <v>121</v>
      </c>
      <c r="B184" s="148"/>
      <c r="C184" s="148"/>
      <c r="D184" s="254">
        <v>5000</v>
      </c>
      <c r="E184" s="181"/>
      <c r="F184" s="181"/>
      <c r="G184" s="197">
        <f t="shared" si="32"/>
        <v>5000</v>
      </c>
      <c r="H184" s="221"/>
      <c r="I184" s="442"/>
      <c r="J184" s="442"/>
      <c r="K184" s="164">
        <f t="shared" si="33"/>
        <v>0</v>
      </c>
      <c r="L184" s="368"/>
      <c r="M184" s="204">
        <v>5000</v>
      </c>
      <c r="N184" s="105"/>
      <c r="O184" s="9"/>
      <c r="P184" s="67">
        <f t="shared" ref="P184:P196" si="34">M184+N184+O184</f>
        <v>5000</v>
      </c>
      <c r="Q184" s="9"/>
      <c r="R184" s="9"/>
      <c r="S184" s="12">
        <v>15000</v>
      </c>
      <c r="T184" s="44">
        <v>0</v>
      </c>
      <c r="U184" s="44">
        <v>0</v>
      </c>
    </row>
    <row r="185" spans="1:23" ht="14.45" customHeight="1" x14ac:dyDescent="0.25">
      <c r="A185" s="7" t="s">
        <v>122</v>
      </c>
      <c r="B185" s="148"/>
      <c r="C185" s="148"/>
      <c r="D185" s="164">
        <v>700</v>
      </c>
      <c r="E185" s="164"/>
      <c r="F185" s="164"/>
      <c r="G185" s="197">
        <f t="shared" si="32"/>
        <v>700</v>
      </c>
      <c r="H185" s="218"/>
      <c r="I185" s="296"/>
      <c r="J185" s="296"/>
      <c r="K185" s="164">
        <f t="shared" si="33"/>
        <v>0</v>
      </c>
      <c r="L185" s="364"/>
      <c r="M185" s="105">
        <v>700</v>
      </c>
      <c r="N185" s="105"/>
      <c r="O185" s="9"/>
      <c r="P185" s="67">
        <f t="shared" si="34"/>
        <v>700</v>
      </c>
      <c r="Q185" s="9"/>
      <c r="R185" s="9"/>
      <c r="S185" s="12">
        <v>700</v>
      </c>
      <c r="T185" s="44">
        <v>0</v>
      </c>
      <c r="U185" s="44">
        <v>779.66</v>
      </c>
    </row>
    <row r="186" spans="1:23" ht="14.45" customHeight="1" x14ac:dyDescent="0.25">
      <c r="A186" s="7" t="s">
        <v>110</v>
      </c>
      <c r="B186" s="148"/>
      <c r="C186" s="148"/>
      <c r="D186" s="164">
        <v>500</v>
      </c>
      <c r="E186" s="164"/>
      <c r="F186" s="164"/>
      <c r="G186" s="197">
        <f t="shared" si="32"/>
        <v>500</v>
      </c>
      <c r="H186" s="218"/>
      <c r="I186" s="296"/>
      <c r="J186" s="296"/>
      <c r="K186" s="164">
        <f t="shared" si="33"/>
        <v>0</v>
      </c>
      <c r="L186" s="364"/>
      <c r="M186" s="105">
        <v>500</v>
      </c>
      <c r="N186" s="105"/>
      <c r="O186" s="9"/>
      <c r="P186" s="67">
        <f t="shared" si="34"/>
        <v>500</v>
      </c>
      <c r="Q186" s="9"/>
      <c r="R186" s="9"/>
      <c r="S186" s="12">
        <v>500</v>
      </c>
      <c r="T186" s="44">
        <v>500</v>
      </c>
      <c r="U186" s="44">
        <v>868.68</v>
      </c>
    </row>
    <row r="187" spans="1:23" ht="14.45" customHeight="1" x14ac:dyDescent="0.25">
      <c r="A187" s="7" t="s">
        <v>123</v>
      </c>
      <c r="B187" s="148"/>
      <c r="C187" s="148"/>
      <c r="D187" s="164">
        <v>5000</v>
      </c>
      <c r="E187" s="164"/>
      <c r="F187" s="164"/>
      <c r="G187" s="197">
        <f t="shared" si="32"/>
        <v>5000</v>
      </c>
      <c r="H187" s="218"/>
      <c r="I187" s="296"/>
      <c r="J187" s="296"/>
      <c r="K187" s="164">
        <f t="shared" si="33"/>
        <v>0</v>
      </c>
      <c r="L187" s="364"/>
      <c r="M187" s="204">
        <v>5000</v>
      </c>
      <c r="N187" s="105"/>
      <c r="O187" s="9"/>
      <c r="P187" s="67">
        <f t="shared" si="34"/>
        <v>5000</v>
      </c>
      <c r="Q187" s="9"/>
      <c r="R187" s="9"/>
      <c r="S187" s="12">
        <v>6000</v>
      </c>
      <c r="T187" s="44">
        <v>5000</v>
      </c>
      <c r="U187" s="44">
        <v>4455.71</v>
      </c>
    </row>
    <row r="188" spans="1:23" ht="14.45" customHeight="1" x14ac:dyDescent="0.25">
      <c r="A188" s="7" t="s">
        <v>124</v>
      </c>
      <c r="B188" s="148"/>
      <c r="C188" s="148"/>
      <c r="D188" s="164">
        <v>19500</v>
      </c>
      <c r="E188" s="164"/>
      <c r="F188" s="164"/>
      <c r="G188" s="197">
        <f t="shared" si="32"/>
        <v>19500</v>
      </c>
      <c r="H188" s="218"/>
      <c r="I188" s="296"/>
      <c r="J188" s="296"/>
      <c r="K188" s="164">
        <f t="shared" si="33"/>
        <v>2500</v>
      </c>
      <c r="L188" s="364"/>
      <c r="M188" s="105">
        <v>17000</v>
      </c>
      <c r="N188" s="105"/>
      <c r="O188" s="9"/>
      <c r="P188" s="67">
        <f t="shared" si="34"/>
        <v>17000</v>
      </c>
      <c r="Q188" s="9"/>
      <c r="R188" s="9"/>
      <c r="S188" s="12">
        <v>17000</v>
      </c>
      <c r="T188" s="44">
        <v>19000</v>
      </c>
      <c r="U188" s="44">
        <v>15566.02</v>
      </c>
    </row>
    <row r="189" spans="1:23" ht="14.45" customHeight="1" x14ac:dyDescent="0.25">
      <c r="A189" s="7" t="s">
        <v>125</v>
      </c>
      <c r="B189" s="148"/>
      <c r="C189" s="148"/>
      <c r="D189" s="164">
        <v>1000</v>
      </c>
      <c r="E189" s="164"/>
      <c r="F189" s="164"/>
      <c r="G189" s="197">
        <f t="shared" si="32"/>
        <v>1000</v>
      </c>
      <c r="H189" s="218"/>
      <c r="I189" s="296"/>
      <c r="J189" s="296"/>
      <c r="K189" s="164">
        <f t="shared" si="33"/>
        <v>-500</v>
      </c>
      <c r="L189" s="364"/>
      <c r="M189" s="105">
        <v>1500</v>
      </c>
      <c r="N189" s="105"/>
      <c r="O189" s="9"/>
      <c r="P189" s="67">
        <f t="shared" si="34"/>
        <v>1500</v>
      </c>
      <c r="Q189" s="9"/>
      <c r="R189" s="9"/>
      <c r="S189" s="12">
        <v>1500</v>
      </c>
      <c r="T189" s="44">
        <v>0</v>
      </c>
      <c r="U189" s="44">
        <v>1952.29</v>
      </c>
    </row>
    <row r="190" spans="1:23" ht="14.45" customHeight="1" x14ac:dyDescent="0.25">
      <c r="A190" s="7" t="s">
        <v>126</v>
      </c>
      <c r="B190" s="148"/>
      <c r="C190" s="148"/>
      <c r="D190" s="164">
        <v>500</v>
      </c>
      <c r="E190" s="164"/>
      <c r="F190" s="164"/>
      <c r="G190" s="197">
        <f t="shared" si="32"/>
        <v>500</v>
      </c>
      <c r="H190" s="218"/>
      <c r="I190" s="296"/>
      <c r="J190" s="296"/>
      <c r="K190" s="164">
        <f t="shared" si="33"/>
        <v>0</v>
      </c>
      <c r="L190" s="364"/>
      <c r="M190" s="105">
        <v>500</v>
      </c>
      <c r="N190" s="105"/>
      <c r="O190" s="9"/>
      <c r="P190" s="67">
        <f t="shared" si="34"/>
        <v>500</v>
      </c>
      <c r="Q190" s="9"/>
      <c r="R190" s="9"/>
      <c r="S190" s="12">
        <v>500</v>
      </c>
      <c r="T190" s="44">
        <v>0</v>
      </c>
      <c r="U190" s="44">
        <v>0</v>
      </c>
    </row>
    <row r="191" spans="1:23" x14ac:dyDescent="0.25">
      <c r="A191" s="148" t="s">
        <v>127</v>
      </c>
      <c r="B191" s="148"/>
      <c r="C191" s="148"/>
      <c r="D191" s="254">
        <f>75000-50000</f>
        <v>25000</v>
      </c>
      <c r="E191" s="254">
        <f>37500+50000+949</f>
        <v>88449</v>
      </c>
      <c r="F191" s="164"/>
      <c r="G191" s="197">
        <f t="shared" si="32"/>
        <v>113449</v>
      </c>
      <c r="H191" s="218"/>
      <c r="I191" s="296"/>
      <c r="J191" s="296"/>
      <c r="K191" s="164">
        <f t="shared" si="33"/>
        <v>949</v>
      </c>
      <c r="L191" s="364"/>
      <c r="M191" s="204">
        <v>112500</v>
      </c>
      <c r="N191" s="105"/>
      <c r="O191" s="9"/>
      <c r="P191" s="67">
        <f t="shared" si="34"/>
        <v>112500</v>
      </c>
      <c r="Q191" s="9"/>
      <c r="R191" s="9"/>
      <c r="S191" s="12">
        <v>12500</v>
      </c>
      <c r="T191" s="44">
        <v>10000</v>
      </c>
      <c r="U191" s="44">
        <v>13679.22</v>
      </c>
      <c r="W191" s="343" t="s">
        <v>476</v>
      </c>
    </row>
    <row r="192" spans="1:23" ht="14.45" customHeight="1" x14ac:dyDescent="0.25">
      <c r="A192" s="148" t="s">
        <v>128</v>
      </c>
      <c r="B192" s="148"/>
      <c r="C192" s="148"/>
      <c r="D192" s="254">
        <v>4000</v>
      </c>
      <c r="E192" s="254"/>
      <c r="F192" s="164"/>
      <c r="G192" s="197">
        <f t="shared" si="32"/>
        <v>4000</v>
      </c>
      <c r="H192" s="218"/>
      <c r="I192" s="296"/>
      <c r="J192" s="296"/>
      <c r="K192" s="164">
        <f t="shared" si="33"/>
        <v>3000</v>
      </c>
      <c r="L192" s="364"/>
      <c r="M192" s="204">
        <v>1000</v>
      </c>
      <c r="N192" s="105"/>
      <c r="O192" s="9"/>
      <c r="P192" s="67">
        <f t="shared" si="34"/>
        <v>1000</v>
      </c>
      <c r="Q192" s="9"/>
      <c r="R192" s="9"/>
      <c r="S192" s="12">
        <v>1000</v>
      </c>
      <c r="T192" s="44">
        <v>0</v>
      </c>
      <c r="U192" s="44">
        <v>1481.65</v>
      </c>
    </row>
    <row r="193" spans="1:21" ht="14.45" customHeight="1" x14ac:dyDescent="0.25">
      <c r="A193" s="7" t="s">
        <v>129</v>
      </c>
      <c r="B193" s="148"/>
      <c r="C193" s="148"/>
      <c r="D193" s="164">
        <v>19000</v>
      </c>
      <c r="E193" s="164"/>
      <c r="F193" s="164"/>
      <c r="G193" s="197">
        <f t="shared" si="32"/>
        <v>19000</v>
      </c>
      <c r="H193" s="218"/>
      <c r="I193" s="296"/>
      <c r="J193" s="296"/>
      <c r="K193" s="164">
        <f t="shared" si="33"/>
        <v>0</v>
      </c>
      <c r="L193" s="364"/>
      <c r="M193" s="105">
        <v>19000</v>
      </c>
      <c r="N193" s="105"/>
      <c r="O193" s="9"/>
      <c r="P193" s="67">
        <f t="shared" si="34"/>
        <v>19000</v>
      </c>
      <c r="Q193" s="9"/>
      <c r="R193" s="9"/>
      <c r="S193" s="12">
        <v>22000</v>
      </c>
      <c r="T193" s="44">
        <v>20000</v>
      </c>
      <c r="U193" s="44">
        <v>21540.74</v>
      </c>
    </row>
    <row r="194" spans="1:21" ht="14.45" customHeight="1" x14ac:dyDescent="0.25">
      <c r="A194" s="7" t="s">
        <v>130</v>
      </c>
      <c r="B194" s="148"/>
      <c r="C194" s="148"/>
      <c r="D194" s="164">
        <v>3500</v>
      </c>
      <c r="E194" s="164"/>
      <c r="F194" s="164"/>
      <c r="G194" s="197">
        <f t="shared" si="32"/>
        <v>3500</v>
      </c>
      <c r="H194" s="218"/>
      <c r="I194" s="296"/>
      <c r="J194" s="296"/>
      <c r="K194" s="164">
        <f t="shared" si="33"/>
        <v>200</v>
      </c>
      <c r="L194" s="364"/>
      <c r="M194" s="105">
        <v>3300</v>
      </c>
      <c r="N194" s="105"/>
      <c r="O194" s="9"/>
      <c r="P194" s="67">
        <f t="shared" si="34"/>
        <v>3300</v>
      </c>
      <c r="Q194" s="9"/>
      <c r="R194" s="9"/>
      <c r="S194" s="12">
        <v>5000</v>
      </c>
      <c r="T194" s="44">
        <v>0</v>
      </c>
      <c r="U194" s="44">
        <v>4415.6899999999996</v>
      </c>
    </row>
    <row r="195" spans="1:21" ht="14.45" customHeight="1" x14ac:dyDescent="0.25">
      <c r="A195" s="7" t="s">
        <v>131</v>
      </c>
      <c r="B195" s="148"/>
      <c r="C195" s="148"/>
      <c r="D195" s="164">
        <v>1300</v>
      </c>
      <c r="E195" s="164"/>
      <c r="F195" s="164"/>
      <c r="G195" s="197">
        <f t="shared" si="32"/>
        <v>1300</v>
      </c>
      <c r="H195" s="218"/>
      <c r="I195" s="296"/>
      <c r="J195" s="296"/>
      <c r="K195" s="164">
        <f t="shared" si="33"/>
        <v>100</v>
      </c>
      <c r="L195" s="364"/>
      <c r="M195" s="105">
        <v>1200</v>
      </c>
      <c r="N195" s="105"/>
      <c r="O195" s="9"/>
      <c r="P195" s="67">
        <f t="shared" si="34"/>
        <v>1200</v>
      </c>
      <c r="Q195" s="9"/>
      <c r="R195" s="9"/>
      <c r="S195" s="12">
        <v>850</v>
      </c>
      <c r="T195" s="44">
        <v>0</v>
      </c>
      <c r="U195" s="44">
        <v>744.83</v>
      </c>
    </row>
    <row r="196" spans="1:21" ht="14.45" customHeight="1" x14ac:dyDescent="0.25">
      <c r="A196" s="7" t="s">
        <v>132</v>
      </c>
      <c r="B196" s="148"/>
      <c r="C196" s="148"/>
      <c r="D196" s="164">
        <v>250</v>
      </c>
      <c r="E196" s="164"/>
      <c r="F196" s="164"/>
      <c r="G196" s="197">
        <f t="shared" si="32"/>
        <v>250</v>
      </c>
      <c r="H196" s="218"/>
      <c r="I196" s="296"/>
      <c r="J196" s="296"/>
      <c r="K196" s="164">
        <f t="shared" si="33"/>
        <v>0</v>
      </c>
      <c r="L196" s="364"/>
      <c r="M196" s="105">
        <v>250</v>
      </c>
      <c r="N196" s="105"/>
      <c r="O196" s="9"/>
      <c r="P196" s="67">
        <f t="shared" si="34"/>
        <v>250</v>
      </c>
      <c r="Q196" s="9"/>
      <c r="R196" s="9"/>
      <c r="S196" s="12">
        <v>250</v>
      </c>
      <c r="T196" s="44">
        <v>500</v>
      </c>
      <c r="U196" s="44">
        <v>0</v>
      </c>
    </row>
    <row r="197" spans="1:21" ht="14.45" customHeight="1" x14ac:dyDescent="0.25">
      <c r="A197" s="142" t="s">
        <v>133</v>
      </c>
      <c r="B197" s="293"/>
      <c r="C197" s="293"/>
      <c r="D197" s="271">
        <f>SUM(D183:D196)</f>
        <v>105250</v>
      </c>
      <c r="E197" s="271">
        <f>SUM(E183:E196)</f>
        <v>88449</v>
      </c>
      <c r="F197" s="271">
        <f>SUM(F183:F196)</f>
        <v>0</v>
      </c>
      <c r="G197" s="273">
        <f>SUM(G183:G196)</f>
        <v>193699</v>
      </c>
      <c r="H197" s="225"/>
      <c r="I197" s="225"/>
      <c r="J197" s="225"/>
      <c r="K197" s="225">
        <f>SUM(K183:K196)</f>
        <v>-3751</v>
      </c>
      <c r="L197" s="366"/>
      <c r="M197" s="205">
        <f>SUM(M183:M196)</f>
        <v>197450</v>
      </c>
      <c r="N197" s="205">
        <f t="shared" ref="N197:O197" si="35">SUM(N183:N196)</f>
        <v>0</v>
      </c>
      <c r="O197" s="45">
        <f t="shared" si="35"/>
        <v>0</v>
      </c>
      <c r="P197" s="45">
        <f>SUM(M197:O197)</f>
        <v>197450</v>
      </c>
      <c r="Q197" s="60">
        <f>P197/P49</f>
        <v>2.9895105953887804E-2</v>
      </c>
      <c r="R197" s="46">
        <f>P197-S197</f>
        <v>-15842</v>
      </c>
      <c r="S197" s="32">
        <v>213292</v>
      </c>
      <c r="T197" s="49">
        <v>93973</v>
      </c>
      <c r="U197" s="49">
        <v>97678.89</v>
      </c>
    </row>
    <row r="198" spans="1:21" ht="15" customHeight="1" x14ac:dyDescent="0.25">
      <c r="A198" s="5"/>
      <c r="B198" s="543"/>
      <c r="C198" s="543"/>
      <c r="D198" s="185"/>
      <c r="E198" s="185"/>
      <c r="F198" s="185"/>
      <c r="G198" s="185"/>
      <c r="H198" s="224"/>
      <c r="I198" s="437"/>
      <c r="J198" s="437"/>
      <c r="K198" s="233"/>
      <c r="L198" s="332"/>
      <c r="M198" s="121"/>
      <c r="N198" s="121"/>
      <c r="O198" s="121"/>
      <c r="P198" s="121"/>
      <c r="Q198" s="122"/>
      <c r="R198" s="123"/>
      <c r="S198" s="124"/>
      <c r="T198" s="37"/>
      <c r="U198" s="37"/>
    </row>
    <row r="199" spans="1:21" ht="30" customHeight="1" x14ac:dyDescent="0.25">
      <c r="A199" s="52" t="s">
        <v>134</v>
      </c>
      <c r="B199" s="563"/>
      <c r="C199" s="563"/>
      <c r="D199" s="52"/>
      <c r="E199" s="52"/>
      <c r="F199" s="52"/>
      <c r="G199" s="52"/>
      <c r="H199" s="52"/>
      <c r="I199" s="52"/>
      <c r="J199" s="52"/>
      <c r="K199" s="52"/>
      <c r="L199" s="323"/>
      <c r="M199" s="305"/>
      <c r="N199" s="52"/>
      <c r="O199" s="52"/>
      <c r="P199" s="52"/>
      <c r="Q199" s="52"/>
      <c r="R199" s="52"/>
      <c r="S199" s="52"/>
      <c r="T199" s="52"/>
      <c r="U199" s="52"/>
    </row>
    <row r="200" spans="1:21" ht="14.45" customHeight="1" x14ac:dyDescent="0.25">
      <c r="A200" s="7" t="s">
        <v>135</v>
      </c>
      <c r="B200" s="148"/>
      <c r="C200" s="148"/>
      <c r="D200" s="164">
        <v>33000</v>
      </c>
      <c r="E200" s="164"/>
      <c r="F200" s="164"/>
      <c r="G200" s="197">
        <f t="shared" ref="G200:G212" si="36">+F200+E200+D200</f>
        <v>33000</v>
      </c>
      <c r="H200" s="218"/>
      <c r="I200" s="296"/>
      <c r="J200" s="296"/>
      <c r="K200" s="164">
        <f t="shared" ref="K200:K212" si="37">+G200-P200</f>
        <v>0</v>
      </c>
      <c r="L200" s="364"/>
      <c r="M200" s="105">
        <v>33000</v>
      </c>
      <c r="N200" s="105"/>
      <c r="O200" s="9"/>
      <c r="P200" s="67">
        <f>M200+N200+O200</f>
        <v>33000</v>
      </c>
      <c r="Q200" s="9"/>
      <c r="R200" s="9"/>
      <c r="S200" s="12">
        <v>39000</v>
      </c>
      <c r="T200" s="44">
        <v>73000</v>
      </c>
      <c r="U200" s="44">
        <v>32957</v>
      </c>
    </row>
    <row r="201" spans="1:21" ht="14.45" customHeight="1" x14ac:dyDescent="0.25">
      <c r="A201" s="148" t="s">
        <v>136</v>
      </c>
      <c r="B201" s="148"/>
      <c r="C201" s="148"/>
      <c r="D201" s="164">
        <v>25000</v>
      </c>
      <c r="E201" s="164"/>
      <c r="F201" s="164"/>
      <c r="G201" s="197">
        <f t="shared" si="36"/>
        <v>25000</v>
      </c>
      <c r="H201" s="218"/>
      <c r="I201" s="296"/>
      <c r="J201" s="296"/>
      <c r="K201" s="164">
        <f t="shared" si="37"/>
        <v>500</v>
      </c>
      <c r="L201" s="364"/>
      <c r="M201" s="105">
        <v>24500</v>
      </c>
      <c r="N201" s="105"/>
      <c r="O201" s="9"/>
      <c r="P201" s="67">
        <f t="shared" ref="P201:P212" si="38">M201+N201+O201</f>
        <v>24500</v>
      </c>
      <c r="Q201" s="9"/>
      <c r="R201" s="9"/>
      <c r="S201" s="12">
        <v>19000</v>
      </c>
      <c r="T201" s="44">
        <v>19000</v>
      </c>
      <c r="U201" s="44">
        <v>21400</v>
      </c>
    </row>
    <row r="202" spans="1:21" ht="14.45" customHeight="1" x14ac:dyDescent="0.25">
      <c r="A202" s="148" t="s">
        <v>137</v>
      </c>
      <c r="B202" s="148"/>
      <c r="C202" s="148"/>
      <c r="D202" s="164"/>
      <c r="E202" s="164">
        <v>25000</v>
      </c>
      <c r="F202" s="164"/>
      <c r="G202" s="197">
        <f t="shared" si="36"/>
        <v>25000</v>
      </c>
      <c r="H202" s="218"/>
      <c r="I202" s="296"/>
      <c r="J202" s="296"/>
      <c r="K202" s="164">
        <f t="shared" si="37"/>
        <v>5000</v>
      </c>
      <c r="L202" s="364"/>
      <c r="M202" s="105"/>
      <c r="N202" s="105">
        <v>20000</v>
      </c>
      <c r="O202" s="9"/>
      <c r="P202" s="67">
        <f t="shared" si="38"/>
        <v>20000</v>
      </c>
      <c r="Q202" s="9"/>
      <c r="R202" s="9"/>
      <c r="S202" s="12">
        <v>19000</v>
      </c>
      <c r="T202" s="44">
        <v>19000</v>
      </c>
      <c r="U202" s="44">
        <v>39450</v>
      </c>
    </row>
    <row r="203" spans="1:21" ht="14.45" customHeight="1" x14ac:dyDescent="0.25">
      <c r="A203" s="7" t="s">
        <v>138</v>
      </c>
      <c r="B203" s="148"/>
      <c r="C203" s="148"/>
      <c r="D203" s="164">
        <v>13200</v>
      </c>
      <c r="E203" s="164"/>
      <c r="F203" s="164"/>
      <c r="G203" s="197">
        <f t="shared" si="36"/>
        <v>13200</v>
      </c>
      <c r="H203" s="218"/>
      <c r="I203" s="296"/>
      <c r="J203" s="296"/>
      <c r="K203" s="164">
        <f t="shared" si="37"/>
        <v>0</v>
      </c>
      <c r="L203" s="364"/>
      <c r="M203" s="105">
        <v>13200</v>
      </c>
      <c r="N203" s="105"/>
      <c r="O203" s="9"/>
      <c r="P203" s="67">
        <f t="shared" si="38"/>
        <v>13200</v>
      </c>
      <c r="Q203" s="9"/>
      <c r="R203" s="9"/>
      <c r="S203" s="12">
        <v>10620</v>
      </c>
      <c r="T203" s="44">
        <v>5900</v>
      </c>
      <c r="U203" s="44">
        <v>10860.68</v>
      </c>
    </row>
    <row r="204" spans="1:21" ht="14.45" customHeight="1" x14ac:dyDescent="0.25">
      <c r="A204" s="148" t="s">
        <v>139</v>
      </c>
      <c r="B204" s="148"/>
      <c r="C204" s="148"/>
      <c r="D204" s="181">
        <v>0</v>
      </c>
      <c r="E204" s="181"/>
      <c r="F204" s="181">
        <v>0</v>
      </c>
      <c r="G204" s="197">
        <f t="shared" si="36"/>
        <v>0</v>
      </c>
      <c r="H204" s="221"/>
      <c r="I204" s="442"/>
      <c r="J204" s="442"/>
      <c r="K204" s="164">
        <f t="shared" si="37"/>
        <v>-225000</v>
      </c>
      <c r="L204" s="368"/>
      <c r="M204" s="204"/>
      <c r="N204" s="204"/>
      <c r="O204" s="81">
        <v>225000</v>
      </c>
      <c r="P204" s="67">
        <f t="shared" si="38"/>
        <v>225000</v>
      </c>
      <c r="Q204" s="9"/>
      <c r="R204" s="9"/>
      <c r="S204" s="12">
        <v>340000</v>
      </c>
      <c r="T204" s="44">
        <v>50000</v>
      </c>
      <c r="U204" s="44">
        <v>40232.800000000003</v>
      </c>
    </row>
    <row r="205" spans="1:21" ht="14.45" customHeight="1" x14ac:dyDescent="0.25">
      <c r="A205" s="7" t="s">
        <v>140</v>
      </c>
      <c r="B205" s="148"/>
      <c r="C205" s="148"/>
      <c r="D205" s="164">
        <v>25000</v>
      </c>
      <c r="E205" s="164"/>
      <c r="F205" s="164"/>
      <c r="G205" s="197">
        <f t="shared" si="36"/>
        <v>25000</v>
      </c>
      <c r="H205" s="218"/>
      <c r="I205" s="296"/>
      <c r="J205" s="296"/>
      <c r="K205" s="164">
        <f t="shared" si="37"/>
        <v>6000</v>
      </c>
      <c r="L205" s="364"/>
      <c r="M205" s="105">
        <v>19000</v>
      </c>
      <c r="N205" s="105"/>
      <c r="O205" s="9"/>
      <c r="P205" s="67">
        <f t="shared" si="38"/>
        <v>19000</v>
      </c>
      <c r="Q205" s="9"/>
      <c r="R205" s="9"/>
      <c r="S205" s="12">
        <v>20000</v>
      </c>
      <c r="T205" s="44">
        <v>35600</v>
      </c>
      <c r="U205" s="44">
        <v>12923.93</v>
      </c>
    </row>
    <row r="206" spans="1:21" ht="14.45" customHeight="1" x14ac:dyDescent="0.25">
      <c r="A206" s="148" t="s">
        <v>141</v>
      </c>
      <c r="B206" s="148"/>
      <c r="C206" s="148"/>
      <c r="D206" s="254">
        <v>5000</v>
      </c>
      <c r="E206" s="164"/>
      <c r="F206" s="164"/>
      <c r="G206" s="197">
        <f t="shared" si="36"/>
        <v>5000</v>
      </c>
      <c r="H206" s="218"/>
      <c r="I206" s="296"/>
      <c r="J206" s="296"/>
      <c r="K206" s="164">
        <f t="shared" si="37"/>
        <v>1750</v>
      </c>
      <c r="L206" s="364"/>
      <c r="M206" s="105">
        <v>3250</v>
      </c>
      <c r="N206" s="105"/>
      <c r="O206" s="9"/>
      <c r="P206" s="67">
        <f t="shared" si="38"/>
        <v>3250</v>
      </c>
      <c r="Q206" s="9"/>
      <c r="R206" s="9"/>
      <c r="S206" s="12">
        <v>3225</v>
      </c>
      <c r="T206" s="44">
        <v>3000</v>
      </c>
      <c r="U206" s="44">
        <v>3225</v>
      </c>
    </row>
    <row r="207" spans="1:21" ht="14.45" hidden="1" customHeight="1" x14ac:dyDescent="0.25">
      <c r="A207" s="7" t="s">
        <v>142</v>
      </c>
      <c r="B207" s="148"/>
      <c r="C207" s="148"/>
      <c r="D207" s="254"/>
      <c r="E207" s="164"/>
      <c r="F207" s="164"/>
      <c r="G207" s="197">
        <f t="shared" si="36"/>
        <v>0</v>
      </c>
      <c r="H207" s="218"/>
      <c r="I207" s="296"/>
      <c r="J207" s="296"/>
      <c r="K207" s="164">
        <f t="shared" si="37"/>
        <v>0</v>
      </c>
      <c r="L207" s="364"/>
      <c r="M207" s="105"/>
      <c r="N207" s="105"/>
      <c r="O207" s="9"/>
      <c r="P207" s="67">
        <f t="shared" si="38"/>
        <v>0</v>
      </c>
      <c r="Q207" s="9"/>
      <c r="R207" s="9"/>
      <c r="S207" s="12">
        <v>0</v>
      </c>
      <c r="T207" s="44">
        <v>2000</v>
      </c>
      <c r="U207" s="44">
        <v>0</v>
      </c>
    </row>
    <row r="208" spans="1:21" ht="14.45" customHeight="1" x14ac:dyDescent="0.25">
      <c r="A208" s="7" t="s">
        <v>143</v>
      </c>
      <c r="B208" s="148"/>
      <c r="C208" s="148"/>
      <c r="D208" s="254">
        <v>1000</v>
      </c>
      <c r="E208" s="164"/>
      <c r="F208" s="164"/>
      <c r="G208" s="197">
        <f t="shared" si="36"/>
        <v>1000</v>
      </c>
      <c r="H208" s="218"/>
      <c r="I208" s="296"/>
      <c r="J208" s="296"/>
      <c r="K208" s="164">
        <f t="shared" si="37"/>
        <v>0</v>
      </c>
      <c r="L208" s="364"/>
      <c r="M208" s="105"/>
      <c r="N208" s="204">
        <v>1000</v>
      </c>
      <c r="O208" s="9"/>
      <c r="P208" s="67">
        <f t="shared" si="38"/>
        <v>1000</v>
      </c>
      <c r="Q208" s="9"/>
      <c r="R208" s="9"/>
      <c r="S208" s="12">
        <v>2000</v>
      </c>
      <c r="T208" s="44">
        <v>3500</v>
      </c>
      <c r="U208" s="44">
        <v>824.75</v>
      </c>
    </row>
    <row r="209" spans="1:23" ht="14.45" hidden="1" customHeight="1" x14ac:dyDescent="0.25">
      <c r="A209" s="7" t="s">
        <v>90</v>
      </c>
      <c r="B209" s="148"/>
      <c r="C209" s="148"/>
      <c r="D209" s="254"/>
      <c r="E209" s="164"/>
      <c r="F209" s="164"/>
      <c r="G209" s="197">
        <f t="shared" si="36"/>
        <v>0</v>
      </c>
      <c r="H209" s="218"/>
      <c r="I209" s="296"/>
      <c r="J209" s="296"/>
      <c r="K209" s="164">
        <f t="shared" si="37"/>
        <v>0</v>
      </c>
      <c r="L209" s="364"/>
      <c r="M209" s="105"/>
      <c r="N209" s="105"/>
      <c r="O209" s="9"/>
      <c r="P209" s="67">
        <f t="shared" si="38"/>
        <v>0</v>
      </c>
      <c r="Q209" s="9"/>
      <c r="R209" s="9"/>
      <c r="S209" s="12">
        <v>0</v>
      </c>
      <c r="T209" s="44">
        <v>0</v>
      </c>
      <c r="U209" s="44">
        <v>5369</v>
      </c>
    </row>
    <row r="210" spans="1:23" ht="14.45" customHeight="1" x14ac:dyDescent="0.25">
      <c r="A210" s="7" t="s">
        <v>144</v>
      </c>
      <c r="B210" s="148"/>
      <c r="C210" s="148"/>
      <c r="D210" s="254">
        <v>8000</v>
      </c>
      <c r="E210" s="164"/>
      <c r="F210" s="164"/>
      <c r="G210" s="197">
        <f t="shared" si="36"/>
        <v>8000</v>
      </c>
      <c r="H210" s="218"/>
      <c r="I210" s="296"/>
      <c r="J210" s="296"/>
      <c r="K210" s="164">
        <f t="shared" si="37"/>
        <v>-2000</v>
      </c>
      <c r="L210" s="364"/>
      <c r="M210" s="105">
        <v>10000</v>
      </c>
      <c r="N210" s="105"/>
      <c r="O210" s="9"/>
      <c r="P210" s="67">
        <f t="shared" si="38"/>
        <v>10000</v>
      </c>
      <c r="Q210" s="9"/>
      <c r="R210" s="9"/>
      <c r="S210" s="12">
        <v>15000</v>
      </c>
      <c r="T210" s="44">
        <v>10000</v>
      </c>
      <c r="U210" s="44">
        <v>30700.5</v>
      </c>
    </row>
    <row r="211" spans="1:23" ht="14.45" customHeight="1" x14ac:dyDescent="0.25">
      <c r="A211" s="148" t="s">
        <v>145</v>
      </c>
      <c r="B211" s="148"/>
      <c r="C211" s="148"/>
      <c r="D211" s="254">
        <v>440000</v>
      </c>
      <c r="E211" s="164"/>
      <c r="F211" s="164"/>
      <c r="G211" s="197">
        <f t="shared" si="36"/>
        <v>440000</v>
      </c>
      <c r="H211" s="218"/>
      <c r="I211" s="296"/>
      <c r="J211" s="296"/>
      <c r="K211" s="164">
        <f t="shared" si="37"/>
        <v>1417.8499999999767</v>
      </c>
      <c r="L211" s="364"/>
      <c r="M211" s="204">
        <v>438582.15</v>
      </c>
      <c r="N211" s="105"/>
      <c r="O211" s="9"/>
      <c r="P211" s="67">
        <f t="shared" si="38"/>
        <v>438582.15</v>
      </c>
      <c r="Q211" s="9"/>
      <c r="R211" s="9"/>
      <c r="S211" s="12">
        <v>447725</v>
      </c>
      <c r="T211" s="44">
        <v>456725.4</v>
      </c>
      <c r="U211" s="44">
        <v>456725.4</v>
      </c>
      <c r="W211" s="343" t="s">
        <v>511</v>
      </c>
    </row>
    <row r="212" spans="1:23" ht="14.45" customHeight="1" x14ac:dyDescent="0.25">
      <c r="A212" s="148" t="s">
        <v>146</v>
      </c>
      <c r="B212" s="148"/>
      <c r="C212" s="148"/>
      <c r="D212" s="164">
        <v>792</v>
      </c>
      <c r="E212" s="164"/>
      <c r="F212" s="164"/>
      <c r="G212" s="197">
        <f t="shared" si="36"/>
        <v>792</v>
      </c>
      <c r="H212" s="218"/>
      <c r="I212" s="296"/>
      <c r="J212" s="296"/>
      <c r="K212" s="164">
        <f t="shared" si="37"/>
        <v>-1208</v>
      </c>
      <c r="L212" s="364"/>
      <c r="M212" s="204">
        <v>2000</v>
      </c>
      <c r="N212" s="105"/>
      <c r="O212" s="9"/>
      <c r="P212" s="67">
        <f t="shared" si="38"/>
        <v>2000</v>
      </c>
      <c r="Q212" s="9"/>
      <c r="R212" s="9"/>
      <c r="S212" s="12">
        <v>2000</v>
      </c>
      <c r="T212" s="44">
        <v>2000</v>
      </c>
      <c r="U212" s="44">
        <v>1464</v>
      </c>
    </row>
    <row r="213" spans="1:23" ht="14.45" hidden="1" customHeight="1" x14ac:dyDescent="0.25">
      <c r="A213" s="7" t="s">
        <v>147</v>
      </c>
      <c r="B213" s="148"/>
      <c r="C213" s="148"/>
      <c r="D213" s="164"/>
      <c r="E213" s="164"/>
      <c r="F213" s="164"/>
      <c r="G213" s="194"/>
      <c r="H213" s="218"/>
      <c r="I213" s="218"/>
      <c r="J213" s="218"/>
      <c r="K213" s="218"/>
      <c r="L213" s="364"/>
      <c r="M213" s="105"/>
      <c r="N213" s="105"/>
      <c r="O213" s="9"/>
      <c r="P213" s="9"/>
      <c r="Q213" s="9"/>
      <c r="R213" s="9"/>
      <c r="S213" s="12">
        <v>0</v>
      </c>
      <c r="T213" s="44">
        <v>1000</v>
      </c>
      <c r="U213" s="44">
        <v>0</v>
      </c>
    </row>
    <row r="214" spans="1:23" ht="14.45" customHeight="1" x14ac:dyDescent="0.25">
      <c r="A214" s="142" t="s">
        <v>148</v>
      </c>
      <c r="B214" s="293"/>
      <c r="C214" s="293"/>
      <c r="D214" s="176">
        <f>SUM(D200:D212)</f>
        <v>550992</v>
      </c>
      <c r="E214" s="176">
        <f>SUM(E200:E212)</f>
        <v>25000</v>
      </c>
      <c r="F214" s="176">
        <f>SUM(F200:F212)</f>
        <v>0</v>
      </c>
      <c r="G214" s="198">
        <f>SUM(G200:G212)</f>
        <v>575992</v>
      </c>
      <c r="H214" s="225"/>
      <c r="I214" s="225"/>
      <c r="J214" s="225"/>
      <c r="K214" s="225">
        <f>SUM(K200:K213)</f>
        <v>-213540.15000000002</v>
      </c>
      <c r="L214" s="366"/>
      <c r="M214" s="205">
        <f>SUM(M200:M212)</f>
        <v>543532.15</v>
      </c>
      <c r="N214" s="205">
        <f t="shared" ref="N214:O214" si="39">SUM(N200:N212)</f>
        <v>21000</v>
      </c>
      <c r="O214" s="45">
        <f t="shared" si="39"/>
        <v>225000</v>
      </c>
      <c r="P214" s="45">
        <f>SUM(M214:O214)</f>
        <v>789532.15</v>
      </c>
      <c r="Q214" s="60">
        <f>P214/P49</f>
        <v>0.11953986973031572</v>
      </c>
      <c r="R214" s="46">
        <f>P214-S214</f>
        <v>-128037.84999999998</v>
      </c>
      <c r="S214" s="32">
        <v>917570</v>
      </c>
      <c r="T214" s="49">
        <v>680725.4</v>
      </c>
      <c r="U214" s="49">
        <v>656133.06000000006</v>
      </c>
    </row>
    <row r="215" spans="1:23" ht="15" customHeight="1" x14ac:dyDescent="0.25">
      <c r="A215" s="82"/>
      <c r="B215" s="101"/>
      <c r="C215" s="101"/>
      <c r="D215" s="186"/>
      <c r="E215" s="186"/>
      <c r="F215" s="186"/>
      <c r="G215" s="186"/>
      <c r="H215" s="224"/>
      <c r="I215" s="437"/>
      <c r="J215" s="437"/>
      <c r="K215" s="233"/>
      <c r="L215" s="332"/>
      <c r="M215" s="4"/>
      <c r="N215" s="4"/>
      <c r="O215" s="4"/>
      <c r="P215" s="5"/>
      <c r="Q215" s="5"/>
      <c r="R215" s="6"/>
      <c r="S215" s="69"/>
      <c r="T215" s="69"/>
      <c r="U215" s="69"/>
    </row>
    <row r="216" spans="1:23" ht="30.75" customHeight="1" x14ac:dyDescent="0.25">
      <c r="A216" s="146" t="s">
        <v>149</v>
      </c>
      <c r="B216" s="564"/>
      <c r="C216" s="564"/>
      <c r="D216" s="146"/>
      <c r="E216" s="146"/>
      <c r="F216" s="146"/>
      <c r="G216" s="146"/>
      <c r="H216" s="146"/>
      <c r="I216" s="146"/>
      <c r="J216" s="146"/>
      <c r="K216" s="146"/>
      <c r="L216" s="326"/>
      <c r="M216" s="305"/>
      <c r="N216" s="78"/>
      <c r="O216" s="78"/>
      <c r="P216" s="53"/>
      <c r="Q216" s="53"/>
      <c r="R216" s="147"/>
      <c r="S216" s="147"/>
      <c r="T216" s="54"/>
      <c r="U216" s="66"/>
    </row>
    <row r="217" spans="1:23" ht="14.45" customHeight="1" x14ac:dyDescent="0.25">
      <c r="A217" s="145" t="s">
        <v>426</v>
      </c>
      <c r="B217" s="148"/>
      <c r="C217" s="554"/>
      <c r="D217" s="164">
        <v>0</v>
      </c>
      <c r="E217" s="164"/>
      <c r="F217" s="164"/>
      <c r="G217" s="197">
        <f>+F217+E217+D217</f>
        <v>0</v>
      </c>
      <c r="H217" s="218"/>
      <c r="I217" s="296"/>
      <c r="J217" s="296"/>
      <c r="K217" s="164">
        <f t="shared" ref="K217:K221" si="40">+G217-P217</f>
        <v>0</v>
      </c>
      <c r="L217" s="364"/>
      <c r="M217" s="204">
        <v>0</v>
      </c>
      <c r="N217" s="105"/>
      <c r="O217" s="9"/>
      <c r="P217" s="9">
        <f>M217+N217+O217</f>
        <v>0</v>
      </c>
      <c r="Q217" s="9"/>
      <c r="R217" s="9"/>
      <c r="S217" s="44">
        <v>0</v>
      </c>
      <c r="T217" s="44">
        <v>2200</v>
      </c>
      <c r="U217" s="44">
        <v>0</v>
      </c>
    </row>
    <row r="218" spans="1:23" ht="14.45" customHeight="1" x14ac:dyDescent="0.25">
      <c r="A218" s="144" t="s">
        <v>168</v>
      </c>
      <c r="B218" s="148"/>
      <c r="C218" s="554"/>
      <c r="D218" s="280">
        <v>0</v>
      </c>
      <c r="E218" s="168"/>
      <c r="F218" s="168">
        <v>3000</v>
      </c>
      <c r="G218" s="197">
        <f>+F218+E218+D218</f>
        <v>3000</v>
      </c>
      <c r="H218" s="221"/>
      <c r="I218" s="442"/>
      <c r="J218" s="442"/>
      <c r="K218" s="164">
        <f t="shared" si="40"/>
        <v>-17000</v>
      </c>
      <c r="L218" s="368"/>
      <c r="M218" s="204">
        <v>20000</v>
      </c>
      <c r="N218" s="204"/>
      <c r="O218" s="67"/>
      <c r="P218" s="67">
        <f t="shared" ref="P218:P224" si="41">M218+N218+O218</f>
        <v>20000</v>
      </c>
      <c r="Q218" s="9"/>
      <c r="R218" s="9"/>
      <c r="S218" s="44"/>
      <c r="T218" s="44"/>
      <c r="U218" s="44"/>
    </row>
    <row r="219" spans="1:23" ht="14.45" customHeight="1" x14ac:dyDescent="0.25">
      <c r="A219" s="145" t="s">
        <v>423</v>
      </c>
      <c r="B219" s="148"/>
      <c r="C219" s="554"/>
      <c r="D219" s="169">
        <v>0</v>
      </c>
      <c r="E219" s="169"/>
      <c r="F219" s="169">
        <v>15000</v>
      </c>
      <c r="G219" s="197">
        <f>+F219+E219+D219</f>
        <v>15000</v>
      </c>
      <c r="H219" s="218"/>
      <c r="I219" s="296"/>
      <c r="J219" s="296"/>
      <c r="K219" s="164">
        <f t="shared" si="40"/>
        <v>15000</v>
      </c>
      <c r="L219" s="364"/>
      <c r="M219" s="204">
        <v>0</v>
      </c>
      <c r="N219" s="105"/>
      <c r="O219" s="9"/>
      <c r="P219" s="9">
        <f t="shared" si="41"/>
        <v>0</v>
      </c>
      <c r="Q219" s="9"/>
      <c r="R219" s="9"/>
      <c r="S219" s="44"/>
      <c r="T219" s="44"/>
      <c r="U219" s="44"/>
    </row>
    <row r="220" spans="1:23" ht="14.45" customHeight="1" x14ac:dyDescent="0.25">
      <c r="A220" s="145" t="s">
        <v>424</v>
      </c>
      <c r="B220" s="148"/>
      <c r="C220" s="554"/>
      <c r="D220" s="169">
        <v>0</v>
      </c>
      <c r="E220" s="169"/>
      <c r="F220" s="169">
        <v>40000</v>
      </c>
      <c r="G220" s="197">
        <f>+F220+E220+D220</f>
        <v>40000</v>
      </c>
      <c r="H220" s="218"/>
      <c r="I220" s="296"/>
      <c r="J220" s="296"/>
      <c r="K220" s="164">
        <f t="shared" si="40"/>
        <v>40000</v>
      </c>
      <c r="L220" s="364"/>
      <c r="M220" s="204">
        <v>0</v>
      </c>
      <c r="N220" s="105"/>
      <c r="O220" s="9"/>
      <c r="P220" s="9">
        <f t="shared" si="41"/>
        <v>0</v>
      </c>
      <c r="Q220" s="9"/>
      <c r="R220" s="9"/>
      <c r="S220" s="44"/>
      <c r="T220" s="44"/>
      <c r="U220" s="44"/>
    </row>
    <row r="221" spans="1:23" ht="14.45" customHeight="1" x14ac:dyDescent="0.25">
      <c r="A221" s="145" t="s">
        <v>425</v>
      </c>
      <c r="B221" s="148"/>
      <c r="C221" s="554"/>
      <c r="D221" s="169">
        <v>0</v>
      </c>
      <c r="E221" s="169"/>
      <c r="F221" s="169">
        <v>10000</v>
      </c>
      <c r="G221" s="197">
        <f>+F221+E221+D221</f>
        <v>10000</v>
      </c>
      <c r="H221" s="218"/>
      <c r="I221" s="296"/>
      <c r="J221" s="296"/>
      <c r="K221" s="164">
        <f t="shared" si="40"/>
        <v>10000</v>
      </c>
      <c r="L221" s="364"/>
      <c r="M221" s="204">
        <v>0</v>
      </c>
      <c r="N221" s="105"/>
      <c r="O221" s="9"/>
      <c r="P221" s="9">
        <f t="shared" si="41"/>
        <v>0</v>
      </c>
      <c r="Q221" s="9"/>
      <c r="R221" s="9"/>
      <c r="S221" s="44"/>
      <c r="T221" s="44"/>
      <c r="U221" s="44"/>
    </row>
    <row r="222" spans="1:23" ht="14.45" hidden="1" customHeight="1" x14ac:dyDescent="0.25">
      <c r="A222" s="145" t="s">
        <v>150</v>
      </c>
      <c r="B222" s="148"/>
      <c r="C222" s="554"/>
      <c r="D222" s="169"/>
      <c r="E222" s="169"/>
      <c r="F222" s="169"/>
      <c r="G222" s="196"/>
      <c r="H222" s="218"/>
      <c r="I222" s="218"/>
      <c r="J222" s="218"/>
      <c r="K222" s="218"/>
      <c r="L222" s="364"/>
      <c r="M222" s="204">
        <v>0</v>
      </c>
      <c r="N222" s="105"/>
      <c r="O222" s="9"/>
      <c r="P222" s="9">
        <f t="shared" si="41"/>
        <v>0</v>
      </c>
      <c r="Q222" s="9"/>
      <c r="R222" s="9"/>
      <c r="S222" s="44"/>
      <c r="T222" s="44"/>
      <c r="U222" s="44"/>
    </row>
    <row r="223" spans="1:23" ht="14.45" hidden="1" customHeight="1" x14ac:dyDescent="0.25">
      <c r="A223" s="145" t="s">
        <v>151</v>
      </c>
      <c r="B223" s="148"/>
      <c r="C223" s="554"/>
      <c r="D223" s="169"/>
      <c r="E223" s="169"/>
      <c r="F223" s="169"/>
      <c r="G223" s="196"/>
      <c r="H223" s="218"/>
      <c r="I223" s="218"/>
      <c r="J223" s="218"/>
      <c r="K223" s="218"/>
      <c r="L223" s="364"/>
      <c r="M223" s="204">
        <v>0</v>
      </c>
      <c r="N223" s="105"/>
      <c r="O223" s="9"/>
      <c r="P223" s="9">
        <f t="shared" si="41"/>
        <v>0</v>
      </c>
      <c r="Q223" s="9"/>
      <c r="R223" s="9"/>
      <c r="S223" s="44"/>
      <c r="T223" s="44"/>
      <c r="U223" s="44"/>
    </row>
    <row r="224" spans="1:23" ht="14.45" hidden="1" customHeight="1" x14ac:dyDescent="0.25">
      <c r="A224" s="145" t="s">
        <v>152</v>
      </c>
      <c r="B224" s="148"/>
      <c r="C224" s="554"/>
      <c r="D224" s="169"/>
      <c r="E224" s="169"/>
      <c r="F224" s="169"/>
      <c r="G224" s="196"/>
      <c r="H224" s="218"/>
      <c r="I224" s="218"/>
      <c r="J224" s="218"/>
      <c r="K224" s="218"/>
      <c r="L224" s="364"/>
      <c r="M224" s="204">
        <v>0</v>
      </c>
      <c r="N224" s="105"/>
      <c r="O224" s="9"/>
      <c r="P224" s="9">
        <f t="shared" si="41"/>
        <v>0</v>
      </c>
      <c r="Q224" s="9"/>
      <c r="R224" s="9"/>
      <c r="S224" s="44"/>
      <c r="T224" s="44"/>
      <c r="U224" s="44"/>
    </row>
    <row r="225" spans="1:23" ht="14.45" customHeight="1" x14ac:dyDescent="0.25">
      <c r="A225" s="712" t="s">
        <v>153</v>
      </c>
      <c r="B225" s="293"/>
      <c r="C225" s="293"/>
      <c r="D225" s="176">
        <f>SUM(D217:D224)</f>
        <v>0</v>
      </c>
      <c r="E225" s="176">
        <f>SUM(E217:E224)</f>
        <v>0</v>
      </c>
      <c r="F225" s="345">
        <f>SUM(F217:F224)</f>
        <v>68000</v>
      </c>
      <c r="G225" s="176">
        <f>SUM(G217:G224)</f>
        <v>68000</v>
      </c>
      <c r="H225" s="224"/>
      <c r="I225" s="224"/>
      <c r="J225" s="224"/>
      <c r="K225" s="224">
        <f>SUM(K217:K224)</f>
        <v>48000</v>
      </c>
      <c r="L225" s="365"/>
      <c r="M225" s="207">
        <f>SUM(M217:M224)</f>
        <v>20000</v>
      </c>
      <c r="N225" s="207">
        <f>SUM(N217:N224)</f>
        <v>0</v>
      </c>
      <c r="O225" s="207">
        <f>SUM(O217:O224)</f>
        <v>0</v>
      </c>
      <c r="P225" s="1">
        <f>SUM(M225:O225)</f>
        <v>20000</v>
      </c>
      <c r="Q225" s="76">
        <f>P225/P49</f>
        <v>3.0281191140934718E-3</v>
      </c>
      <c r="R225" s="77">
        <f>P225-S225</f>
        <v>20000</v>
      </c>
      <c r="S225" s="83">
        <f>SUM(S217:S224)</f>
        <v>0</v>
      </c>
      <c r="T225" s="84"/>
      <c r="U225" s="85"/>
      <c r="W225" s="343" t="s">
        <v>522</v>
      </c>
    </row>
    <row r="226" spans="1:23" ht="15" customHeight="1" x14ac:dyDescent="0.25">
      <c r="A226" s="5"/>
      <c r="B226" s="543"/>
      <c r="C226" s="543"/>
      <c r="D226" s="185"/>
      <c r="E226" s="185"/>
      <c r="F226" s="185"/>
      <c r="G226" s="185"/>
      <c r="H226" s="224"/>
      <c r="I226" s="437"/>
      <c r="J226" s="437"/>
      <c r="K226" s="233"/>
      <c r="L226" s="332"/>
      <c r="M226" s="130"/>
      <c r="N226" s="121"/>
      <c r="O226" s="121"/>
      <c r="P226" s="130"/>
      <c r="Q226" s="131"/>
      <c r="R226" s="132"/>
      <c r="S226" s="133"/>
      <c r="T226" s="134"/>
      <c r="U226" s="135"/>
    </row>
    <row r="227" spans="1:23" ht="30.75" customHeight="1" x14ac:dyDescent="0.25">
      <c r="A227" s="52" t="s">
        <v>154</v>
      </c>
      <c r="B227" s="563"/>
      <c r="C227" s="563"/>
      <c r="D227" s="52"/>
      <c r="E227" s="52"/>
      <c r="F227" s="52"/>
      <c r="G227" s="52"/>
      <c r="H227" s="52"/>
      <c r="I227" s="52"/>
      <c r="J227" s="52"/>
      <c r="K227" s="52"/>
      <c r="L227" s="323"/>
      <c r="M227" s="305"/>
      <c r="N227" s="52"/>
      <c r="O227" s="52"/>
      <c r="P227" s="52"/>
      <c r="Q227" s="52"/>
      <c r="R227" s="52"/>
      <c r="S227" s="52"/>
      <c r="T227" s="52"/>
      <c r="U227" s="52"/>
      <c r="W227" s="390" t="s">
        <v>457</v>
      </c>
    </row>
    <row r="228" spans="1:23" ht="14.45" customHeight="1" x14ac:dyDescent="0.25">
      <c r="A228" s="7" t="s">
        <v>155</v>
      </c>
      <c r="B228" s="148"/>
      <c r="C228" s="148"/>
      <c r="D228" s="164"/>
      <c r="E228" s="187">
        <v>135840</v>
      </c>
      <c r="F228" s="164"/>
      <c r="G228" s="194">
        <f t="shared" ref="G228:G233" si="42">+F228+E228+D228</f>
        <v>135840</v>
      </c>
      <c r="H228" s="218"/>
      <c r="I228" s="218"/>
      <c r="J228" s="218"/>
      <c r="K228" s="164">
        <f t="shared" ref="K228:K232" si="43">+G228-P228</f>
        <v>0</v>
      </c>
      <c r="L228" s="364"/>
      <c r="M228" s="105"/>
      <c r="N228" s="105">
        <v>135840</v>
      </c>
      <c r="O228" s="24"/>
      <c r="P228" s="67">
        <f>M228+N228+O228</f>
        <v>135840</v>
      </c>
      <c r="Q228" s="9"/>
      <c r="R228" s="9"/>
      <c r="S228" s="12">
        <v>135840</v>
      </c>
      <c r="T228" s="44">
        <v>0</v>
      </c>
      <c r="U228" s="44">
        <v>0</v>
      </c>
    </row>
    <row r="229" spans="1:23" ht="14.45" customHeight="1" x14ac:dyDescent="0.25">
      <c r="A229" s="7" t="s">
        <v>156</v>
      </c>
      <c r="B229" s="148"/>
      <c r="C229" s="148"/>
      <c r="D229" s="164"/>
      <c r="E229" s="187">
        <v>0</v>
      </c>
      <c r="F229" s="164"/>
      <c r="G229" s="194">
        <f t="shared" si="42"/>
        <v>0</v>
      </c>
      <c r="H229" s="218"/>
      <c r="I229" s="218"/>
      <c r="J229" s="218"/>
      <c r="K229" s="164">
        <f t="shared" si="43"/>
        <v>-15000</v>
      </c>
      <c r="L229" s="364"/>
      <c r="M229" s="105"/>
      <c r="N229" s="105">
        <v>15000</v>
      </c>
      <c r="O229" s="24"/>
      <c r="P229" s="67">
        <f t="shared" ref="P229:P232" si="44">M229+N229+O229</f>
        <v>15000</v>
      </c>
      <c r="Q229" s="9"/>
      <c r="R229" s="9"/>
      <c r="S229" s="12">
        <v>15000</v>
      </c>
      <c r="T229" s="44">
        <v>0</v>
      </c>
      <c r="U229" s="44">
        <v>24750</v>
      </c>
    </row>
    <row r="230" spans="1:23" ht="14.45" customHeight="1" x14ac:dyDescent="0.25">
      <c r="A230" s="7" t="s">
        <v>157</v>
      </c>
      <c r="B230" s="148"/>
      <c r="C230" s="148"/>
      <c r="D230" s="164"/>
      <c r="E230" s="187">
        <v>8000</v>
      </c>
      <c r="F230" s="164"/>
      <c r="G230" s="194">
        <f t="shared" si="42"/>
        <v>8000</v>
      </c>
      <c r="H230" s="218"/>
      <c r="I230" s="218"/>
      <c r="J230" s="218"/>
      <c r="K230" s="164">
        <f t="shared" si="43"/>
        <v>0</v>
      </c>
      <c r="L230" s="364"/>
      <c r="M230" s="105"/>
      <c r="N230" s="105">
        <v>8000</v>
      </c>
      <c r="O230" s="24"/>
      <c r="P230" s="67">
        <f t="shared" si="44"/>
        <v>8000</v>
      </c>
      <c r="Q230" s="9"/>
      <c r="R230" s="9"/>
      <c r="S230" s="12">
        <v>8000</v>
      </c>
      <c r="T230" s="44">
        <v>0</v>
      </c>
      <c r="U230" s="44">
        <v>0</v>
      </c>
    </row>
    <row r="231" spans="1:23" ht="14.45" customHeight="1" x14ac:dyDescent="0.25">
      <c r="A231" s="154" t="s">
        <v>158</v>
      </c>
      <c r="B231" s="148"/>
      <c r="C231" s="148"/>
      <c r="D231" s="164"/>
      <c r="E231" s="187">
        <v>5740</v>
      </c>
      <c r="F231" s="164"/>
      <c r="G231" s="194">
        <f t="shared" si="42"/>
        <v>5740</v>
      </c>
      <c r="H231" s="218"/>
      <c r="I231" s="218"/>
      <c r="J231" s="218"/>
      <c r="K231" s="164">
        <f t="shared" si="43"/>
        <v>-260</v>
      </c>
      <c r="L231" s="364"/>
      <c r="M231" s="105"/>
      <c r="N231" s="105">
        <v>6000</v>
      </c>
      <c r="O231" s="24"/>
      <c r="P231" s="67">
        <f t="shared" si="44"/>
        <v>6000</v>
      </c>
      <c r="Q231" s="9"/>
      <c r="R231" s="9"/>
      <c r="S231" s="12">
        <v>6000</v>
      </c>
      <c r="T231" s="44">
        <v>0</v>
      </c>
      <c r="U231" s="44">
        <v>0</v>
      </c>
    </row>
    <row r="232" spans="1:23" ht="14.45" customHeight="1" x14ac:dyDescent="0.25">
      <c r="A232" s="7" t="s">
        <v>159</v>
      </c>
      <c r="B232" s="148"/>
      <c r="C232" s="148"/>
      <c r="D232" s="164"/>
      <c r="E232" s="187">
        <v>35160</v>
      </c>
      <c r="F232" s="164"/>
      <c r="G232" s="194">
        <f t="shared" si="42"/>
        <v>35160</v>
      </c>
      <c r="H232" s="218"/>
      <c r="I232" s="218"/>
      <c r="J232" s="218"/>
      <c r="K232" s="164">
        <f t="shared" si="43"/>
        <v>0</v>
      </c>
      <c r="L232" s="364"/>
      <c r="M232" s="105"/>
      <c r="N232" s="105">
        <v>35160</v>
      </c>
      <c r="O232" s="24"/>
      <c r="P232" s="67">
        <f t="shared" si="44"/>
        <v>35160</v>
      </c>
      <c r="Q232" s="9"/>
      <c r="R232" s="9"/>
      <c r="S232" s="12">
        <v>35160</v>
      </c>
      <c r="T232" s="44">
        <v>0</v>
      </c>
      <c r="U232" s="44">
        <v>0</v>
      </c>
    </row>
    <row r="233" spans="1:23" ht="14.45" customHeight="1" x14ac:dyDescent="0.25">
      <c r="A233" s="140" t="s">
        <v>160</v>
      </c>
      <c r="B233" s="293"/>
      <c r="C233" s="560"/>
      <c r="D233" s="271">
        <f>SUM(D228:D232)</f>
        <v>0</v>
      </c>
      <c r="E233" s="271">
        <f>SUM(E228:E232)</f>
        <v>184740</v>
      </c>
      <c r="F233" s="271">
        <f>SUM(F228:F232)</f>
        <v>0</v>
      </c>
      <c r="G233" s="198">
        <f t="shared" si="42"/>
        <v>184740</v>
      </c>
      <c r="H233" s="224"/>
      <c r="I233" s="224"/>
      <c r="J233" s="224"/>
      <c r="K233" s="224">
        <f>SUM(K228:K232)</f>
        <v>-15260</v>
      </c>
      <c r="L233" s="365"/>
      <c r="M233" s="205">
        <f>SUM(M228:M232)</f>
        <v>0</v>
      </c>
      <c r="N233" s="205">
        <f>SUM(N228:N232)</f>
        <v>200000</v>
      </c>
      <c r="O233" s="45">
        <f>SUM(O228:O232)</f>
        <v>0</v>
      </c>
      <c r="P233" s="45">
        <f>SUM(M233:O233)</f>
        <v>200000</v>
      </c>
      <c r="Q233" s="60">
        <f>P233/P49</f>
        <v>3.0281191140934721E-2</v>
      </c>
      <c r="R233" s="46">
        <f>P233-S233</f>
        <v>0</v>
      </c>
      <c r="S233" s="32">
        <f>SUM(S228:S232)</f>
        <v>200000</v>
      </c>
      <c r="T233" s="49">
        <v>0</v>
      </c>
      <c r="U233" s="49">
        <v>24750</v>
      </c>
    </row>
    <row r="234" spans="1:23" ht="15" customHeight="1" x14ac:dyDescent="0.25">
      <c r="A234" s="5"/>
      <c r="B234" s="543"/>
      <c r="C234" s="543"/>
      <c r="D234" s="435"/>
      <c r="E234" s="435"/>
      <c r="F234" s="435"/>
      <c r="G234" s="436"/>
      <c r="H234" s="224"/>
      <c r="I234" s="437"/>
      <c r="J234" s="437"/>
      <c r="K234" s="437"/>
      <c r="L234" s="438"/>
      <c r="M234" s="121"/>
      <c r="N234" s="121"/>
      <c r="O234" s="121"/>
      <c r="P234" s="121"/>
      <c r="Q234" s="122"/>
      <c r="R234" s="123"/>
      <c r="S234" s="124"/>
      <c r="T234" s="37"/>
      <c r="U234" s="37"/>
    </row>
    <row r="235" spans="1:23" ht="34.5" customHeight="1" x14ac:dyDescent="0.25">
      <c r="A235" s="248" t="s">
        <v>481</v>
      </c>
      <c r="B235" s="563"/>
      <c r="C235" s="563"/>
      <c r="D235" s="565"/>
      <c r="E235" s="565"/>
      <c r="F235" s="565"/>
      <c r="G235" s="566"/>
      <c r="H235" s="567"/>
      <c r="I235" s="568"/>
      <c r="J235" s="568"/>
      <c r="K235" s="568"/>
      <c r="L235" s="569"/>
      <c r="M235" s="570"/>
      <c r="N235" s="570"/>
      <c r="O235" s="570"/>
      <c r="P235" s="570"/>
      <c r="Q235" s="122"/>
      <c r="R235" s="123"/>
      <c r="S235" s="124"/>
      <c r="T235" s="37"/>
      <c r="U235" s="37"/>
    </row>
    <row r="236" spans="1:23" ht="16.5" customHeight="1" x14ac:dyDescent="0.25">
      <c r="A236" s="148" t="s">
        <v>73</v>
      </c>
      <c r="B236" s="148"/>
      <c r="C236" s="148"/>
      <c r="D236" s="255"/>
      <c r="E236" s="254">
        <f>+N236*V$236</f>
        <v>154684.37</v>
      </c>
      <c r="F236" s="254"/>
      <c r="G236" s="194">
        <f t="shared" ref="G236:G248" si="45">+F236+E236+D236</f>
        <v>154684.37</v>
      </c>
      <c r="H236" s="218"/>
      <c r="I236" s="218"/>
      <c r="J236" s="218"/>
      <c r="K236" s="164">
        <f t="shared" ref="K236:K248" si="46">+G236-P236</f>
        <v>4505.3699999999953</v>
      </c>
      <c r="L236" s="364"/>
      <c r="M236" s="105"/>
      <c r="N236" s="105">
        <v>150179</v>
      </c>
      <c r="O236" s="9"/>
      <c r="P236" s="67">
        <f t="shared" ref="P236:P248" si="47">M236+N236+O236</f>
        <v>150179</v>
      </c>
      <c r="Q236" s="9"/>
      <c r="R236" s="9"/>
      <c r="S236" s="12">
        <v>138040</v>
      </c>
      <c r="T236" s="44">
        <v>70013.95</v>
      </c>
      <c r="U236" s="44">
        <v>91761.44</v>
      </c>
      <c r="V236" s="3">
        <v>1.03</v>
      </c>
      <c r="W236" s="498" t="s">
        <v>545</v>
      </c>
    </row>
    <row r="237" spans="1:23" ht="14.45" customHeight="1" x14ac:dyDescent="0.25">
      <c r="A237" s="148" t="s">
        <v>162</v>
      </c>
      <c r="B237" s="148"/>
      <c r="C237" s="148"/>
      <c r="D237" s="255"/>
      <c r="E237" s="254"/>
      <c r="F237" s="254"/>
      <c r="G237" s="194">
        <f t="shared" si="45"/>
        <v>0</v>
      </c>
      <c r="H237" s="218"/>
      <c r="I237" s="218"/>
      <c r="J237" s="218"/>
      <c r="K237" s="164">
        <f t="shared" si="46"/>
        <v>0</v>
      </c>
      <c r="L237" s="364"/>
      <c r="M237" s="105"/>
      <c r="N237" s="105">
        <v>0</v>
      </c>
      <c r="O237" s="9"/>
      <c r="P237" s="67">
        <f t="shared" si="47"/>
        <v>0</v>
      </c>
      <c r="Q237" s="9"/>
      <c r="R237" s="9"/>
      <c r="S237" s="12">
        <v>0</v>
      </c>
      <c r="T237" s="44">
        <v>9000</v>
      </c>
      <c r="U237" s="44">
        <v>4500</v>
      </c>
    </row>
    <row r="238" spans="1:23" ht="14.45" customHeight="1" x14ac:dyDescent="0.25">
      <c r="A238" s="148" t="s">
        <v>83</v>
      </c>
      <c r="B238" s="148"/>
      <c r="C238" s="148"/>
      <c r="D238" s="255"/>
      <c r="E238" s="254">
        <f>+N238*V$236</f>
        <v>3101.33</v>
      </c>
      <c r="F238" s="254"/>
      <c r="G238" s="194">
        <f t="shared" si="45"/>
        <v>3101.33</v>
      </c>
      <c r="H238" s="218"/>
      <c r="I238" s="218"/>
      <c r="J238" s="218"/>
      <c r="K238" s="164">
        <f t="shared" si="46"/>
        <v>90.329999999999927</v>
      </c>
      <c r="L238" s="364"/>
      <c r="M238" s="105"/>
      <c r="N238" s="105">
        <v>3011</v>
      </c>
      <c r="O238" s="9"/>
      <c r="P238" s="67">
        <f t="shared" si="47"/>
        <v>3011</v>
      </c>
      <c r="Q238" s="9"/>
      <c r="R238" s="9"/>
      <c r="S238" s="12">
        <v>2923</v>
      </c>
      <c r="T238" s="44">
        <v>2295</v>
      </c>
      <c r="U238" s="44">
        <v>2660.13</v>
      </c>
    </row>
    <row r="239" spans="1:23" ht="14.45" customHeight="1" x14ac:dyDescent="0.25">
      <c r="A239" s="148" t="s">
        <v>163</v>
      </c>
      <c r="B239" s="148"/>
      <c r="C239" s="148"/>
      <c r="D239" s="255"/>
      <c r="E239" s="254"/>
      <c r="F239" s="254"/>
      <c r="G239" s="194">
        <f t="shared" si="45"/>
        <v>0</v>
      </c>
      <c r="H239" s="218"/>
      <c r="I239" s="218"/>
      <c r="J239" s="218"/>
      <c r="K239" s="164">
        <f t="shared" si="46"/>
        <v>0</v>
      </c>
      <c r="L239" s="364"/>
      <c r="M239" s="105"/>
      <c r="N239" s="105"/>
      <c r="O239" s="9"/>
      <c r="P239" s="67">
        <f t="shared" si="47"/>
        <v>0</v>
      </c>
      <c r="Q239" s="9"/>
      <c r="R239" s="9"/>
      <c r="S239" s="12">
        <v>0</v>
      </c>
      <c r="T239" s="44">
        <v>3061</v>
      </c>
      <c r="U239" s="44">
        <v>3885.04</v>
      </c>
    </row>
    <row r="240" spans="1:23" ht="14.45" customHeight="1" x14ac:dyDescent="0.25">
      <c r="A240" s="148" t="s">
        <v>55</v>
      </c>
      <c r="B240" s="148"/>
      <c r="C240" s="148"/>
      <c r="D240" s="255"/>
      <c r="E240" s="254">
        <f>+N240*V240</f>
        <v>10615.175999999999</v>
      </c>
      <c r="F240" s="254"/>
      <c r="G240" s="194">
        <f t="shared" si="45"/>
        <v>10615.175999999999</v>
      </c>
      <c r="H240" s="218"/>
      <c r="I240" s="218"/>
      <c r="J240" s="218"/>
      <c r="K240" s="164">
        <f t="shared" si="46"/>
        <v>319.17599999999948</v>
      </c>
      <c r="L240" s="364"/>
      <c r="M240" s="105"/>
      <c r="N240" s="105">
        <v>10296</v>
      </c>
      <c r="O240" s="9"/>
      <c r="P240" s="67">
        <f t="shared" si="47"/>
        <v>10296</v>
      </c>
      <c r="Q240" s="9"/>
      <c r="R240" s="9"/>
      <c r="S240" s="12">
        <v>10042</v>
      </c>
      <c r="T240" s="44">
        <v>4663</v>
      </c>
      <c r="U240" s="44">
        <v>5977.5</v>
      </c>
      <c r="V240" s="3">
        <v>1.0309999999999999</v>
      </c>
    </row>
    <row r="241" spans="1:21" ht="14.45" customHeight="1" x14ac:dyDescent="0.25">
      <c r="A241" s="148" t="s">
        <v>84</v>
      </c>
      <c r="B241" s="148"/>
      <c r="C241" s="148"/>
      <c r="D241" s="255"/>
      <c r="E241" s="254">
        <f>+N241*V$236</f>
        <v>2060</v>
      </c>
      <c r="F241" s="254"/>
      <c r="G241" s="194">
        <f t="shared" si="45"/>
        <v>2060</v>
      </c>
      <c r="H241" s="218"/>
      <c r="I241" s="218"/>
      <c r="J241" s="218"/>
      <c r="K241" s="164">
        <f t="shared" si="46"/>
        <v>60</v>
      </c>
      <c r="L241" s="364"/>
      <c r="M241" s="105"/>
      <c r="N241" s="105">
        <v>2000</v>
      </c>
      <c r="O241" s="9"/>
      <c r="P241" s="67">
        <f t="shared" si="47"/>
        <v>2000</v>
      </c>
      <c r="Q241" s="9"/>
      <c r="R241" s="9"/>
      <c r="S241" s="12">
        <v>2000</v>
      </c>
      <c r="T241" s="44">
        <v>2000</v>
      </c>
      <c r="U241" s="44">
        <v>1269.42</v>
      </c>
    </row>
    <row r="242" spans="1:21" ht="14.45" customHeight="1" x14ac:dyDescent="0.25">
      <c r="A242" s="148" t="s">
        <v>57</v>
      </c>
      <c r="B242" s="148"/>
      <c r="C242" s="148"/>
      <c r="D242" s="255"/>
      <c r="E242" s="254">
        <f>+N242*V$236</f>
        <v>589.16</v>
      </c>
      <c r="F242" s="254"/>
      <c r="G242" s="194">
        <f t="shared" si="45"/>
        <v>589.16</v>
      </c>
      <c r="H242" s="218"/>
      <c r="I242" s="218"/>
      <c r="J242" s="218"/>
      <c r="K242" s="164">
        <f t="shared" si="46"/>
        <v>17.159999999999968</v>
      </c>
      <c r="L242" s="364"/>
      <c r="M242" s="105"/>
      <c r="N242" s="105">
        <v>572</v>
      </c>
      <c r="O242" s="9"/>
      <c r="P242" s="67">
        <f t="shared" si="47"/>
        <v>572</v>
      </c>
      <c r="Q242" s="9"/>
      <c r="R242" s="9"/>
      <c r="S242" s="12">
        <v>570</v>
      </c>
      <c r="T242" s="44">
        <v>0</v>
      </c>
      <c r="U242" s="44">
        <v>204</v>
      </c>
    </row>
    <row r="243" spans="1:21" ht="14.45" customHeight="1" x14ac:dyDescent="0.25">
      <c r="A243" s="148" t="s">
        <v>59</v>
      </c>
      <c r="B243" s="148"/>
      <c r="C243" s="148"/>
      <c r="D243" s="255"/>
      <c r="E243" s="254">
        <f>+N243*V$236</f>
        <v>24354.350000000002</v>
      </c>
      <c r="F243" s="254"/>
      <c r="G243" s="194">
        <f t="shared" si="45"/>
        <v>24354.350000000002</v>
      </c>
      <c r="H243" s="218"/>
      <c r="I243" s="218"/>
      <c r="J243" s="218"/>
      <c r="K243" s="164">
        <f t="shared" si="46"/>
        <v>709.35000000000218</v>
      </c>
      <c r="L243" s="364"/>
      <c r="M243" s="105"/>
      <c r="N243" s="105">
        <v>23645</v>
      </c>
      <c r="O243" s="9"/>
      <c r="P243" s="67">
        <f t="shared" si="47"/>
        <v>23645</v>
      </c>
      <c r="Q243" s="9"/>
      <c r="R243" s="9"/>
      <c r="S243" s="12">
        <v>21559</v>
      </c>
      <c r="T243" s="44">
        <v>10454</v>
      </c>
      <c r="U243" s="44">
        <v>13205.49</v>
      </c>
    </row>
    <row r="244" spans="1:21" ht="14.45" customHeight="1" x14ac:dyDescent="0.25">
      <c r="A244" s="7" t="s">
        <v>61</v>
      </c>
      <c r="B244" s="148"/>
      <c r="C244" s="148"/>
      <c r="D244" s="255"/>
      <c r="E244" s="164">
        <v>300</v>
      </c>
      <c r="F244" s="164"/>
      <c r="G244" s="194">
        <f t="shared" si="45"/>
        <v>300</v>
      </c>
      <c r="H244" s="218"/>
      <c r="I244" s="218"/>
      <c r="J244" s="218"/>
      <c r="K244" s="164">
        <f t="shared" si="46"/>
        <v>-1200</v>
      </c>
      <c r="L244" s="364"/>
      <c r="M244" s="105"/>
      <c r="N244" s="105">
        <v>1500</v>
      </c>
      <c r="O244" s="9"/>
      <c r="P244" s="67">
        <f t="shared" si="47"/>
        <v>1500</v>
      </c>
      <c r="Q244" s="440"/>
      <c r="R244" s="440"/>
      <c r="S244" s="253"/>
      <c r="T244" s="73"/>
      <c r="U244" s="73"/>
    </row>
    <row r="245" spans="1:21" ht="14.45" customHeight="1" x14ac:dyDescent="0.25">
      <c r="A245" s="7" t="s">
        <v>164</v>
      </c>
      <c r="B245" s="148"/>
      <c r="C245" s="148"/>
      <c r="D245" s="255"/>
      <c r="E245" s="164">
        <v>1000</v>
      </c>
      <c r="F245" s="164"/>
      <c r="G245" s="194">
        <f t="shared" si="45"/>
        <v>1000</v>
      </c>
      <c r="H245" s="218"/>
      <c r="I245" s="218"/>
      <c r="J245" s="218"/>
      <c r="K245" s="164">
        <f t="shared" si="46"/>
        <v>0</v>
      </c>
      <c r="L245" s="364"/>
      <c r="M245" s="105"/>
      <c r="N245" s="204">
        <v>1000</v>
      </c>
      <c r="O245" s="9"/>
      <c r="P245" s="67">
        <f t="shared" si="47"/>
        <v>1000</v>
      </c>
      <c r="Q245" s="440"/>
      <c r="R245" s="440"/>
      <c r="S245" s="253"/>
      <c r="T245" s="73"/>
      <c r="U245" s="73"/>
    </row>
    <row r="246" spans="1:21" ht="14.45" customHeight="1" x14ac:dyDescent="0.25">
      <c r="A246" s="7" t="s">
        <v>63</v>
      </c>
      <c r="B246" s="148"/>
      <c r="C246" s="148"/>
      <c r="D246" s="255"/>
      <c r="E246" s="164">
        <v>1500</v>
      </c>
      <c r="F246" s="164"/>
      <c r="G246" s="194">
        <f t="shared" si="45"/>
        <v>1500</v>
      </c>
      <c r="H246" s="218"/>
      <c r="I246" s="218"/>
      <c r="J246" s="218"/>
      <c r="K246" s="164">
        <f t="shared" si="46"/>
        <v>-500</v>
      </c>
      <c r="L246" s="364"/>
      <c r="M246" s="105"/>
      <c r="N246" s="105">
        <v>2000</v>
      </c>
      <c r="O246" s="9"/>
      <c r="P246" s="67">
        <f t="shared" si="47"/>
        <v>2000</v>
      </c>
      <c r="Q246" s="440"/>
      <c r="R246" s="440"/>
      <c r="S246" s="253"/>
      <c r="T246" s="73"/>
      <c r="U246" s="73"/>
    </row>
    <row r="247" spans="1:21" ht="14.45" customHeight="1" x14ac:dyDescent="0.25">
      <c r="A247" s="7" t="s">
        <v>64</v>
      </c>
      <c r="B247" s="148"/>
      <c r="C247" s="148"/>
      <c r="D247" s="255"/>
      <c r="E247" s="164">
        <v>300</v>
      </c>
      <c r="F247" s="164"/>
      <c r="G247" s="194">
        <f t="shared" si="45"/>
        <v>300</v>
      </c>
      <c r="H247" s="218"/>
      <c r="I247" s="218"/>
      <c r="J247" s="218"/>
      <c r="K247" s="164">
        <f t="shared" si="46"/>
        <v>-700</v>
      </c>
      <c r="L247" s="364"/>
      <c r="M247" s="105"/>
      <c r="N247" s="105">
        <v>1000</v>
      </c>
      <c r="O247" s="9"/>
      <c r="P247" s="67">
        <f t="shared" si="47"/>
        <v>1000</v>
      </c>
      <c r="Q247" s="440"/>
      <c r="R247" s="440"/>
      <c r="S247" s="253"/>
      <c r="T247" s="73"/>
      <c r="U247" s="73"/>
    </row>
    <row r="248" spans="1:21" ht="14.45" customHeight="1" x14ac:dyDescent="0.25">
      <c r="A248" s="7" t="s">
        <v>65</v>
      </c>
      <c r="B248" s="148"/>
      <c r="C248" s="148"/>
      <c r="D248" s="255"/>
      <c r="E248" s="164">
        <v>5000</v>
      </c>
      <c r="F248" s="164"/>
      <c r="G248" s="194">
        <f t="shared" si="45"/>
        <v>5000</v>
      </c>
      <c r="H248" s="218"/>
      <c r="I248" s="218"/>
      <c r="J248" s="218"/>
      <c r="K248" s="164">
        <f t="shared" si="46"/>
        <v>-3000</v>
      </c>
      <c r="L248" s="364"/>
      <c r="M248" s="105"/>
      <c r="N248" s="105">
        <v>8000</v>
      </c>
      <c r="O248" s="9"/>
      <c r="P248" s="67">
        <f t="shared" si="47"/>
        <v>8000</v>
      </c>
      <c r="Q248" s="440"/>
      <c r="R248" s="440"/>
      <c r="S248" s="253"/>
      <c r="T248" s="73"/>
      <c r="U248" s="73"/>
    </row>
    <row r="249" spans="1:21" ht="14.45" customHeight="1" x14ac:dyDescent="0.25">
      <c r="A249" s="142" t="s">
        <v>483</v>
      </c>
      <c r="B249" s="293"/>
      <c r="C249" s="293"/>
      <c r="D249" s="271">
        <f>SUM(D236:D248)</f>
        <v>0</v>
      </c>
      <c r="E249" s="271">
        <f>SUM(E236:E248)</f>
        <v>203504.386</v>
      </c>
      <c r="F249" s="271">
        <f>SUM(F236:F248)</f>
        <v>0</v>
      </c>
      <c r="G249" s="271">
        <f>SUM(G236:G248)</f>
        <v>203504.386</v>
      </c>
      <c r="H249" s="224"/>
      <c r="I249" s="224"/>
      <c r="J249" s="224"/>
      <c r="K249" s="224">
        <f t="shared" ref="K249:P249" si="48">SUM(K236:K248)</f>
        <v>301.38599999999678</v>
      </c>
      <c r="L249" s="271">
        <f t="shared" si="48"/>
        <v>0</v>
      </c>
      <c r="M249" s="271">
        <f t="shared" si="48"/>
        <v>0</v>
      </c>
      <c r="N249" s="271">
        <f t="shared" si="48"/>
        <v>203203</v>
      </c>
      <c r="O249" s="271">
        <f t="shared" si="48"/>
        <v>0</v>
      </c>
      <c r="P249" s="271">
        <f t="shared" si="48"/>
        <v>203203</v>
      </c>
      <c r="Q249" s="122"/>
      <c r="R249" s="123"/>
      <c r="S249" s="124"/>
      <c r="T249" s="37"/>
      <c r="U249" s="37"/>
    </row>
    <row r="250" spans="1:21" ht="15" customHeight="1" x14ac:dyDescent="0.25">
      <c r="A250" s="5"/>
      <c r="B250" s="543"/>
      <c r="C250" s="543"/>
      <c r="D250" s="435"/>
      <c r="E250" s="435"/>
      <c r="F250" s="435"/>
      <c r="G250" s="436"/>
      <c r="H250" s="439"/>
      <c r="I250" s="437"/>
      <c r="J250" s="437"/>
      <c r="K250" s="437"/>
      <c r="L250" s="438"/>
      <c r="M250" s="121"/>
      <c r="N250" s="121"/>
      <c r="O250" s="121"/>
      <c r="P250" s="121"/>
      <c r="Q250" s="122"/>
      <c r="R250" s="123"/>
      <c r="S250" s="124"/>
      <c r="T250" s="37"/>
      <c r="U250" s="37"/>
    </row>
    <row r="251" spans="1:21" ht="33" customHeight="1" x14ac:dyDescent="0.25">
      <c r="A251" s="52" t="s">
        <v>482</v>
      </c>
      <c r="B251" s="563"/>
      <c r="C251" s="563"/>
      <c r="D251" s="52"/>
      <c r="E251" s="52"/>
      <c r="F251" s="52"/>
      <c r="G251" s="52"/>
      <c r="H251" s="52"/>
      <c r="I251" s="52"/>
      <c r="J251" s="52"/>
      <c r="K251" s="52"/>
      <c r="L251" s="52"/>
      <c r="M251" s="261"/>
      <c r="N251" s="52"/>
      <c r="O251" s="52"/>
      <c r="P251" s="52"/>
      <c r="Q251" s="122"/>
      <c r="R251" s="123"/>
      <c r="S251" s="124"/>
      <c r="T251" s="37"/>
      <c r="U251" s="37"/>
    </row>
    <row r="252" spans="1:21" ht="14.45" customHeight="1" x14ac:dyDescent="0.25">
      <c r="A252" s="148" t="s">
        <v>73</v>
      </c>
      <c r="B252" s="148"/>
      <c r="C252" s="148"/>
      <c r="D252" s="254">
        <f>21000+206</f>
        <v>21206</v>
      </c>
      <c r="E252" s="254">
        <f>135800-21206</f>
        <v>114594</v>
      </c>
      <c r="F252" s="254"/>
      <c r="G252" s="290">
        <f t="shared" ref="G252:G263" si="49">+F252+E252+D252</f>
        <v>135800</v>
      </c>
      <c r="H252" s="423"/>
      <c r="I252" s="423"/>
      <c r="J252" s="423"/>
      <c r="K252" s="164"/>
      <c r="L252" s="364"/>
      <c r="M252" s="105"/>
      <c r="N252" s="105"/>
      <c r="O252" s="9"/>
      <c r="P252" s="9">
        <f t="shared" ref="P252:P264" si="50">M252+N252+O252</f>
        <v>0</v>
      </c>
      <c r="Q252" s="122"/>
      <c r="R252" s="123"/>
      <c r="S252" s="124"/>
      <c r="T252" s="37"/>
      <c r="U252" s="37"/>
    </row>
    <row r="253" spans="1:21" ht="14.45" customHeight="1" x14ac:dyDescent="0.25">
      <c r="A253" s="148" t="s">
        <v>177</v>
      </c>
      <c r="B253" s="148"/>
      <c r="C253" s="148"/>
      <c r="D253" s="254">
        <v>20000</v>
      </c>
      <c r="E253" s="254"/>
      <c r="F253" s="254"/>
      <c r="G253" s="290">
        <f t="shared" si="49"/>
        <v>20000</v>
      </c>
      <c r="H253" s="423"/>
      <c r="I253" s="423"/>
      <c r="J253" s="423"/>
      <c r="K253" s="164"/>
      <c r="L253" s="364"/>
      <c r="M253" s="105"/>
      <c r="N253" s="105"/>
      <c r="O253" s="9"/>
      <c r="P253" s="9">
        <f t="shared" si="50"/>
        <v>0</v>
      </c>
      <c r="Q253" s="122"/>
      <c r="R253" s="123"/>
      <c r="S253" s="124"/>
      <c r="T253" s="37"/>
      <c r="U253" s="37"/>
    </row>
    <row r="254" spans="1:21" ht="14.45" customHeight="1" x14ac:dyDescent="0.25">
      <c r="A254" s="148" t="s">
        <v>178</v>
      </c>
      <c r="B254" s="148"/>
      <c r="C254" s="148"/>
      <c r="D254" s="254"/>
      <c r="E254" s="254"/>
      <c r="F254" s="254"/>
      <c r="G254" s="290">
        <f t="shared" si="49"/>
        <v>0</v>
      </c>
      <c r="H254" s="423"/>
      <c r="I254" s="423"/>
      <c r="J254" s="423"/>
      <c r="K254" s="164"/>
      <c r="L254" s="379"/>
      <c r="M254" s="105"/>
      <c r="N254" s="204"/>
      <c r="O254" s="9"/>
      <c r="P254" s="9">
        <f t="shared" si="50"/>
        <v>0</v>
      </c>
      <c r="Q254" s="122"/>
      <c r="R254" s="123"/>
      <c r="S254" s="124"/>
      <c r="T254" s="37"/>
      <c r="U254" s="37"/>
    </row>
    <row r="255" spans="1:21" ht="14.45" customHeight="1" x14ac:dyDescent="0.25">
      <c r="A255" s="148" t="s">
        <v>179</v>
      </c>
      <c r="B255" s="148"/>
      <c r="C255" s="148"/>
      <c r="D255" s="254"/>
      <c r="E255" s="254"/>
      <c r="F255" s="254"/>
      <c r="G255" s="290">
        <f t="shared" si="49"/>
        <v>0</v>
      </c>
      <c r="H255" s="423"/>
      <c r="I255" s="423"/>
      <c r="J255" s="423"/>
      <c r="K255" s="164"/>
      <c r="L255" s="379"/>
      <c r="M255" s="105"/>
      <c r="N255" s="105"/>
      <c r="O255" s="9"/>
      <c r="P255" s="9">
        <f t="shared" si="50"/>
        <v>0</v>
      </c>
      <c r="Q255" s="122"/>
      <c r="R255" s="123"/>
      <c r="S255" s="124"/>
      <c r="T255" s="37"/>
      <c r="U255" s="37"/>
    </row>
    <row r="256" spans="1:21" ht="14.45" customHeight="1" x14ac:dyDescent="0.25">
      <c r="A256" s="148" t="s">
        <v>83</v>
      </c>
      <c r="B256" s="148"/>
      <c r="C256" s="148"/>
      <c r="D256" s="254"/>
      <c r="E256" s="254"/>
      <c r="F256" s="254"/>
      <c r="G256" s="290">
        <f t="shared" si="49"/>
        <v>0</v>
      </c>
      <c r="H256" s="423"/>
      <c r="I256" s="423"/>
      <c r="J256" s="423"/>
      <c r="K256" s="164"/>
      <c r="L256" s="379"/>
      <c r="M256" s="105"/>
      <c r="N256" s="105"/>
      <c r="O256" s="9"/>
      <c r="P256" s="9">
        <f t="shared" si="50"/>
        <v>0</v>
      </c>
      <c r="Q256" s="122"/>
      <c r="R256" s="123"/>
      <c r="S256" s="124"/>
      <c r="T256" s="37"/>
      <c r="U256" s="37"/>
    </row>
    <row r="257" spans="1:23" ht="14.45" customHeight="1" x14ac:dyDescent="0.25">
      <c r="A257" s="148" t="s">
        <v>57</v>
      </c>
      <c r="B257" s="148"/>
      <c r="C257" s="148"/>
      <c r="D257" s="254"/>
      <c r="E257" s="254"/>
      <c r="F257" s="254"/>
      <c r="G257" s="290">
        <f t="shared" si="49"/>
        <v>0</v>
      </c>
      <c r="H257" s="423"/>
      <c r="I257" s="423"/>
      <c r="J257" s="423"/>
      <c r="K257" s="164"/>
      <c r="L257" s="379"/>
      <c r="M257" s="105"/>
      <c r="N257" s="105"/>
      <c r="O257" s="9"/>
      <c r="P257" s="9">
        <f t="shared" si="50"/>
        <v>0</v>
      </c>
      <c r="Q257" s="122"/>
      <c r="R257" s="123"/>
      <c r="S257" s="124"/>
      <c r="T257" s="37"/>
      <c r="U257" s="37"/>
    </row>
    <row r="258" spans="1:23" ht="14.45" customHeight="1" x14ac:dyDescent="0.25">
      <c r="A258" s="148" t="s">
        <v>59</v>
      </c>
      <c r="B258" s="148"/>
      <c r="C258" s="148"/>
      <c r="D258" s="254"/>
      <c r="E258" s="254"/>
      <c r="F258" s="254"/>
      <c r="G258" s="290">
        <f t="shared" si="49"/>
        <v>0</v>
      </c>
      <c r="H258" s="423"/>
      <c r="I258" s="423"/>
      <c r="J258" s="423"/>
      <c r="K258" s="164"/>
      <c r="L258" s="379"/>
      <c r="M258" s="105"/>
      <c r="N258" s="105"/>
      <c r="O258" s="9"/>
      <c r="P258" s="9">
        <f t="shared" si="50"/>
        <v>0</v>
      </c>
      <c r="Q258" s="122"/>
      <c r="R258" s="123"/>
      <c r="S258" s="124"/>
      <c r="T258" s="37"/>
      <c r="U258" s="37"/>
    </row>
    <row r="259" spans="1:23" ht="14.45" customHeight="1" x14ac:dyDescent="0.25">
      <c r="A259" s="144" t="s">
        <v>180</v>
      </c>
      <c r="B259" s="148"/>
      <c r="C259" s="554"/>
      <c r="D259" s="280"/>
      <c r="E259" s="280"/>
      <c r="F259" s="280"/>
      <c r="G259" s="290">
        <f t="shared" si="49"/>
        <v>0</v>
      </c>
      <c r="H259" s="423"/>
      <c r="I259" s="423"/>
      <c r="J259" s="423"/>
      <c r="K259" s="164"/>
      <c r="L259" s="379"/>
      <c r="M259" s="105"/>
      <c r="N259" s="105"/>
      <c r="O259" s="9"/>
      <c r="P259" s="9">
        <f t="shared" si="50"/>
        <v>0</v>
      </c>
      <c r="Q259" s="122"/>
      <c r="R259" s="123"/>
      <c r="S259" s="124"/>
      <c r="T259" s="37"/>
      <c r="U259" s="37"/>
    </row>
    <row r="260" spans="1:23" ht="14.45" customHeight="1" x14ac:dyDescent="0.25">
      <c r="A260" s="144" t="s">
        <v>181</v>
      </c>
      <c r="B260" s="148"/>
      <c r="C260" s="554"/>
      <c r="D260" s="280">
        <f>1000-600</f>
        <v>400</v>
      </c>
      <c r="E260" s="280"/>
      <c r="F260" s="280">
        <v>600</v>
      </c>
      <c r="G260" s="290">
        <f t="shared" si="49"/>
        <v>1000</v>
      </c>
      <c r="H260" s="423"/>
      <c r="I260" s="423"/>
      <c r="J260" s="423"/>
      <c r="K260" s="164"/>
      <c r="L260" s="379"/>
      <c r="M260" s="105"/>
      <c r="N260" s="105"/>
      <c r="O260" s="9"/>
      <c r="P260" s="9">
        <f t="shared" si="50"/>
        <v>0</v>
      </c>
      <c r="Q260" s="122"/>
      <c r="R260" s="123"/>
      <c r="S260" s="124"/>
      <c r="T260" s="37"/>
      <c r="U260" s="37"/>
    </row>
    <row r="261" spans="1:23" ht="14.45" customHeight="1" x14ac:dyDescent="0.25">
      <c r="A261" s="144" t="s">
        <v>63</v>
      </c>
      <c r="B261" s="148"/>
      <c r="C261" s="554"/>
      <c r="D261" s="280">
        <v>2000</v>
      </c>
      <c r="E261" s="280"/>
      <c r="F261" s="280"/>
      <c r="G261" s="290">
        <f t="shared" si="49"/>
        <v>2000</v>
      </c>
      <c r="H261" s="423"/>
      <c r="I261" s="423"/>
      <c r="J261" s="423"/>
      <c r="K261" s="164"/>
      <c r="L261" s="379"/>
      <c r="M261" s="105"/>
      <c r="N261" s="105"/>
      <c r="O261" s="9"/>
      <c r="P261" s="9">
        <f t="shared" si="50"/>
        <v>0</v>
      </c>
      <c r="Q261" s="122"/>
      <c r="R261" s="123"/>
      <c r="S261" s="124"/>
      <c r="T261" s="37"/>
      <c r="U261" s="37"/>
    </row>
    <row r="262" spans="1:23" ht="14.45" customHeight="1" x14ac:dyDescent="0.25">
      <c r="A262" s="144" t="s">
        <v>182</v>
      </c>
      <c r="B262" s="148"/>
      <c r="C262" s="554"/>
      <c r="D262" s="280">
        <v>600</v>
      </c>
      <c r="E262" s="280"/>
      <c r="F262" s="280"/>
      <c r="G262" s="290">
        <f t="shared" si="49"/>
        <v>600</v>
      </c>
      <c r="H262" s="423"/>
      <c r="I262" s="423"/>
      <c r="J262" s="423"/>
      <c r="K262" s="164"/>
      <c r="L262" s="379"/>
      <c r="M262" s="105"/>
      <c r="N262" s="105"/>
      <c r="O262" s="9"/>
      <c r="P262" s="9">
        <f t="shared" si="50"/>
        <v>0</v>
      </c>
      <c r="Q262" s="122"/>
      <c r="R262" s="123"/>
      <c r="S262" s="124"/>
      <c r="T262" s="37"/>
      <c r="U262" s="37"/>
    </row>
    <row r="263" spans="1:23" ht="14.45" customHeight="1" x14ac:dyDescent="0.25">
      <c r="A263" s="148" t="s">
        <v>183</v>
      </c>
      <c r="B263" s="148"/>
      <c r="C263" s="148"/>
      <c r="D263" s="254">
        <v>1500</v>
      </c>
      <c r="E263" s="254"/>
      <c r="F263" s="254"/>
      <c r="G263" s="290">
        <f t="shared" si="49"/>
        <v>1500</v>
      </c>
      <c r="H263" s="423"/>
      <c r="I263" s="423"/>
      <c r="J263" s="423"/>
      <c r="K263" s="164"/>
      <c r="L263" s="379"/>
      <c r="M263" s="105"/>
      <c r="N263" s="105"/>
      <c r="O263" s="9"/>
      <c r="P263" s="9">
        <f t="shared" si="50"/>
        <v>0</v>
      </c>
      <c r="Q263" s="122"/>
      <c r="R263" s="123"/>
      <c r="S263" s="124"/>
      <c r="T263" s="37"/>
      <c r="U263" s="37"/>
    </row>
    <row r="264" spans="1:23" ht="14.45" customHeight="1" x14ac:dyDescent="0.25">
      <c r="A264" s="142" t="s">
        <v>483</v>
      </c>
      <c r="B264" s="293"/>
      <c r="C264" s="560"/>
      <c r="D264" s="441">
        <f>SUM(D252:D263)</f>
        <v>45706</v>
      </c>
      <c r="E264" s="441">
        <f>SUM(E252:E263)</f>
        <v>114594</v>
      </c>
      <c r="F264" s="441">
        <f>SUM(F252:F263)</f>
        <v>600</v>
      </c>
      <c r="G264" s="441">
        <f>SUM(G252:G263)</f>
        <v>160900</v>
      </c>
      <c r="H264" s="371"/>
      <c r="I264" s="371"/>
      <c r="J264" s="371"/>
      <c r="K264" s="224">
        <f>+G264-P264</f>
        <v>25090</v>
      </c>
      <c r="L264" s="365"/>
      <c r="M264" s="441">
        <f>SUM(M252:M263)</f>
        <v>0</v>
      </c>
      <c r="N264" s="205">
        <v>135810</v>
      </c>
      <c r="O264" s="45"/>
      <c r="P264" s="45">
        <f t="shared" si="50"/>
        <v>135810</v>
      </c>
      <c r="Q264" s="122"/>
      <c r="R264" s="123"/>
      <c r="S264" s="124"/>
      <c r="T264" s="37"/>
      <c r="U264" s="37"/>
    </row>
    <row r="265" spans="1:23" ht="15" customHeight="1" x14ac:dyDescent="0.25">
      <c r="A265" s="5"/>
      <c r="B265" s="543"/>
      <c r="C265" s="543"/>
      <c r="D265" s="435"/>
      <c r="E265" s="435"/>
      <c r="F265" s="435"/>
      <c r="G265" s="436"/>
      <c r="H265" s="224"/>
      <c r="I265" s="437"/>
      <c r="J265" s="437"/>
      <c r="K265" s="437"/>
      <c r="L265" s="438"/>
      <c r="M265" s="121"/>
      <c r="N265" s="121"/>
      <c r="O265" s="121"/>
      <c r="P265" s="121"/>
      <c r="Q265" s="122"/>
      <c r="R265" s="123"/>
      <c r="S265" s="124"/>
      <c r="T265" s="37"/>
      <c r="U265" s="37"/>
    </row>
    <row r="266" spans="1:23" ht="34.5" customHeight="1" x14ac:dyDescent="0.25">
      <c r="A266" s="52" t="s">
        <v>484</v>
      </c>
      <c r="B266" s="563"/>
      <c r="C266" s="563"/>
      <c r="D266" s="52"/>
      <c r="E266" s="52"/>
      <c r="F266" s="52"/>
      <c r="G266" s="52"/>
      <c r="H266" s="52"/>
      <c r="I266" s="52"/>
      <c r="J266" s="52"/>
      <c r="K266" s="52"/>
      <c r="L266" s="52"/>
      <c r="M266" s="261"/>
      <c r="N266" s="52"/>
      <c r="O266" s="52"/>
      <c r="P266" s="52"/>
      <c r="Q266" s="122"/>
      <c r="R266" s="123"/>
      <c r="S266" s="124"/>
      <c r="T266" s="37"/>
      <c r="U266" s="37"/>
    </row>
    <row r="267" spans="1:23" ht="14.45" customHeight="1" x14ac:dyDescent="0.25">
      <c r="A267" s="7" t="s">
        <v>73</v>
      </c>
      <c r="B267" s="148"/>
      <c r="C267" s="148"/>
      <c r="D267" s="254"/>
      <c r="E267" s="254">
        <v>20000</v>
      </c>
      <c r="F267" s="164"/>
      <c r="G267" s="194">
        <f t="shared" ref="G267:G274" si="51">+F267+E267+D267</f>
        <v>20000</v>
      </c>
      <c r="H267" s="218"/>
      <c r="I267" s="296"/>
      <c r="J267" s="296"/>
      <c r="K267" s="164">
        <f t="shared" ref="K267:K274" si="52">+G267-P267</f>
        <v>20000</v>
      </c>
      <c r="L267" s="364"/>
      <c r="M267" s="105"/>
      <c r="N267" s="105"/>
      <c r="O267" s="9"/>
      <c r="P267" s="9">
        <f>M267+N267+O267</f>
        <v>0</v>
      </c>
      <c r="Q267" s="122"/>
      <c r="R267" s="123"/>
      <c r="S267" s="124"/>
      <c r="T267" s="37"/>
      <c r="U267" s="37"/>
    </row>
    <row r="268" spans="1:23" ht="14.45" customHeight="1" x14ac:dyDescent="0.25">
      <c r="A268" s="7" t="s">
        <v>59</v>
      </c>
      <c r="B268" s="148"/>
      <c r="C268" s="148"/>
      <c r="D268" s="254">
        <v>0</v>
      </c>
      <c r="E268" s="254">
        <f>0.18*E267</f>
        <v>3600</v>
      </c>
      <c r="F268" s="164"/>
      <c r="G268" s="194">
        <f t="shared" si="51"/>
        <v>3600</v>
      </c>
      <c r="H268" s="218"/>
      <c r="I268" s="296"/>
      <c r="J268" s="296"/>
      <c r="K268" s="164">
        <f t="shared" si="52"/>
        <v>3600</v>
      </c>
      <c r="L268" s="364"/>
      <c r="M268" s="105"/>
      <c r="N268" s="105"/>
      <c r="O268" s="9"/>
      <c r="P268" s="9">
        <f>M268+N268+O268</f>
        <v>0</v>
      </c>
      <c r="Q268" s="122"/>
      <c r="R268" s="123"/>
      <c r="S268" s="124"/>
      <c r="T268" s="37"/>
      <c r="U268" s="37"/>
      <c r="V268" s="285">
        <f>+U383/U382</f>
        <v>0.18000148629950349</v>
      </c>
      <c r="W268" s="498" t="s">
        <v>444</v>
      </c>
    </row>
    <row r="269" spans="1:23" ht="14.45" customHeight="1" x14ac:dyDescent="0.25">
      <c r="A269" s="7" t="s">
        <v>60</v>
      </c>
      <c r="B269" s="148"/>
      <c r="C269" s="148"/>
      <c r="D269" s="254">
        <v>0</v>
      </c>
      <c r="E269" s="254">
        <f>0.0013*E267</f>
        <v>26</v>
      </c>
      <c r="F269" s="164"/>
      <c r="G269" s="194">
        <f t="shared" si="51"/>
        <v>26</v>
      </c>
      <c r="H269" s="218"/>
      <c r="I269" s="296"/>
      <c r="J269" s="296"/>
      <c r="K269" s="164">
        <f t="shared" si="52"/>
        <v>26</v>
      </c>
      <c r="L269" s="364"/>
      <c r="M269" s="105"/>
      <c r="N269" s="105"/>
      <c r="O269" s="9"/>
      <c r="P269" s="9">
        <f>M269+N269+O269</f>
        <v>0</v>
      </c>
      <c r="Q269" s="122"/>
      <c r="R269" s="123"/>
      <c r="S269" s="124"/>
      <c r="T269" s="37"/>
      <c r="U269" s="37"/>
      <c r="V269" s="285">
        <f>+U384/U382</f>
        <v>1.2757404071752879E-3</v>
      </c>
      <c r="W269" s="498" t="s">
        <v>444</v>
      </c>
    </row>
    <row r="270" spans="1:23" ht="14.45" customHeight="1" x14ac:dyDescent="0.25">
      <c r="A270" s="7" t="s">
        <v>61</v>
      </c>
      <c r="B270" s="148"/>
      <c r="C270" s="148"/>
      <c r="D270" s="254">
        <v>0</v>
      </c>
      <c r="E270" s="254">
        <v>200</v>
      </c>
      <c r="F270" s="164"/>
      <c r="G270" s="194">
        <f t="shared" si="51"/>
        <v>200</v>
      </c>
      <c r="H270" s="218"/>
      <c r="I270" s="296"/>
      <c r="J270" s="296"/>
      <c r="K270" s="164">
        <f t="shared" si="52"/>
        <v>200</v>
      </c>
      <c r="L270" s="364"/>
      <c r="M270" s="105"/>
      <c r="N270" s="105"/>
      <c r="O270" s="9"/>
      <c r="P270" s="9">
        <f>M270+N270+O270</f>
        <v>0</v>
      </c>
      <c r="Q270" s="122"/>
      <c r="R270" s="123"/>
      <c r="S270" s="124"/>
      <c r="T270" s="37"/>
      <c r="U270" s="37"/>
    </row>
    <row r="271" spans="1:23" ht="14.45" customHeight="1" x14ac:dyDescent="0.25">
      <c r="A271" s="7" t="s">
        <v>193</v>
      </c>
      <c r="B271" s="148"/>
      <c r="C271" s="148"/>
      <c r="D271" s="254">
        <v>0</v>
      </c>
      <c r="E271" s="254">
        <v>1000</v>
      </c>
      <c r="F271" s="164"/>
      <c r="G271" s="194">
        <f t="shared" si="51"/>
        <v>1000</v>
      </c>
      <c r="H271" s="218"/>
      <c r="I271" s="296"/>
      <c r="J271" s="296"/>
      <c r="K271" s="164">
        <f t="shared" si="52"/>
        <v>1000</v>
      </c>
      <c r="L271" s="364"/>
      <c r="M271" s="105"/>
      <c r="N271" s="105"/>
      <c r="O271" s="9"/>
      <c r="P271" s="9">
        <f>M271+N271+O271</f>
        <v>0</v>
      </c>
      <c r="Q271" s="122"/>
      <c r="R271" s="123"/>
      <c r="S271" s="124"/>
      <c r="T271" s="37"/>
      <c r="U271" s="37"/>
    </row>
    <row r="272" spans="1:23" ht="14.45" customHeight="1" x14ac:dyDescent="0.25">
      <c r="A272" s="7" t="s">
        <v>427</v>
      </c>
      <c r="B272" s="148"/>
      <c r="C272" s="148"/>
      <c r="D272" s="254">
        <v>0</v>
      </c>
      <c r="E272" s="254">
        <v>500</v>
      </c>
      <c r="F272" s="164"/>
      <c r="G272" s="194">
        <f t="shared" si="51"/>
        <v>500</v>
      </c>
      <c r="H272" s="218"/>
      <c r="I272" s="296"/>
      <c r="J272" s="296"/>
      <c r="K272" s="164">
        <f t="shared" si="52"/>
        <v>500</v>
      </c>
      <c r="L272" s="364"/>
      <c r="M272" s="105"/>
      <c r="N272" s="105"/>
      <c r="O272" s="9"/>
      <c r="P272" s="9"/>
      <c r="Q272" s="122"/>
      <c r="R272" s="123"/>
      <c r="S272" s="124"/>
      <c r="T272" s="37"/>
      <c r="U272" s="37"/>
    </row>
    <row r="273" spans="1:23" ht="14.45" customHeight="1" x14ac:dyDescent="0.25">
      <c r="A273" s="7" t="s">
        <v>182</v>
      </c>
      <c r="B273" s="148"/>
      <c r="C273" s="148"/>
      <c r="D273" s="254">
        <v>0</v>
      </c>
      <c r="E273" s="254">
        <v>200</v>
      </c>
      <c r="F273" s="164"/>
      <c r="G273" s="194">
        <f t="shared" si="51"/>
        <v>200</v>
      </c>
      <c r="H273" s="218"/>
      <c r="I273" s="296"/>
      <c r="J273" s="296"/>
      <c r="K273" s="164">
        <f t="shared" si="52"/>
        <v>200</v>
      </c>
      <c r="L273" s="364"/>
      <c r="M273" s="105"/>
      <c r="N273" s="105"/>
      <c r="O273" s="9"/>
      <c r="P273" s="9"/>
      <c r="Q273" s="122"/>
      <c r="R273" s="123"/>
      <c r="S273" s="124"/>
      <c r="T273" s="37"/>
      <c r="U273" s="37"/>
    </row>
    <row r="274" spans="1:23" ht="14.45" customHeight="1" x14ac:dyDescent="0.25">
      <c r="A274" s="7" t="s">
        <v>428</v>
      </c>
      <c r="B274" s="148"/>
      <c r="C274" s="148"/>
      <c r="D274" s="254"/>
      <c r="E274" s="254">
        <v>3500</v>
      </c>
      <c r="F274" s="164"/>
      <c r="G274" s="194">
        <f t="shared" si="51"/>
        <v>3500</v>
      </c>
      <c r="H274" s="218"/>
      <c r="I274" s="296"/>
      <c r="J274" s="296"/>
      <c r="K274" s="164">
        <f t="shared" si="52"/>
        <v>3500</v>
      </c>
      <c r="L274" s="364"/>
      <c r="M274" s="105"/>
      <c r="N274" s="105"/>
      <c r="O274" s="9"/>
      <c r="P274" s="9"/>
      <c r="Q274" s="122"/>
      <c r="R274" s="123"/>
      <c r="S274" s="124"/>
      <c r="T274" s="37"/>
      <c r="U274" s="37"/>
    </row>
    <row r="275" spans="1:23" ht="14.45" customHeight="1" x14ac:dyDescent="0.25">
      <c r="A275" s="142" t="s">
        <v>483</v>
      </c>
      <c r="B275" s="293"/>
      <c r="C275" s="293"/>
      <c r="D275" s="271">
        <f>SUM(D267:D274)</f>
        <v>0</v>
      </c>
      <c r="E275" s="271">
        <f>SUM(E267:E274)</f>
        <v>29026</v>
      </c>
      <c r="F275" s="271">
        <f>SUM(F267:F274)</f>
        <v>0</v>
      </c>
      <c r="G275" s="271">
        <f>SUM(G267:G274)</f>
        <v>29026</v>
      </c>
      <c r="H275" s="224"/>
      <c r="I275" s="224"/>
      <c r="J275" s="224"/>
      <c r="K275" s="271">
        <f>SUM(K267:K274)</f>
        <v>29026</v>
      </c>
      <c r="L275" s="224"/>
      <c r="M275" s="271">
        <f>SUM(M267:M274)</f>
        <v>0</v>
      </c>
      <c r="N275" s="271">
        <f>SUM(N267:N274)</f>
        <v>0</v>
      </c>
      <c r="O275" s="271">
        <f>SUM(O267:O274)</f>
        <v>0</v>
      </c>
      <c r="P275" s="271">
        <f>SUM(P267:P274)</f>
        <v>0</v>
      </c>
      <c r="Q275" s="122"/>
      <c r="R275" s="123"/>
      <c r="S275" s="124"/>
      <c r="T275" s="37"/>
      <c r="U275" s="37"/>
    </row>
    <row r="276" spans="1:23" ht="15" customHeight="1" x14ac:dyDescent="0.25">
      <c r="A276" s="5"/>
      <c r="B276" s="543"/>
      <c r="C276" s="543"/>
      <c r="D276" s="435"/>
      <c r="E276" s="435"/>
      <c r="F276" s="435"/>
      <c r="G276" s="435"/>
      <c r="H276" s="439"/>
      <c r="I276" s="437"/>
      <c r="J276" s="437"/>
      <c r="K276" s="435"/>
      <c r="L276" s="437"/>
      <c r="M276" s="435"/>
      <c r="N276" s="435"/>
      <c r="O276" s="435"/>
      <c r="P276" s="435"/>
      <c r="Q276" s="122"/>
      <c r="R276" s="123"/>
      <c r="S276" s="124"/>
      <c r="T276" s="37"/>
      <c r="U276" s="37"/>
    </row>
    <row r="277" spans="1:23" ht="37.5" customHeight="1" x14ac:dyDescent="0.25">
      <c r="A277" s="52" t="s">
        <v>486</v>
      </c>
      <c r="B277" s="563"/>
      <c r="C277" s="563"/>
      <c r="D277" s="52"/>
      <c r="E277" s="52"/>
      <c r="F277" s="52"/>
      <c r="G277" s="52"/>
      <c r="H277" s="52"/>
      <c r="I277" s="52"/>
      <c r="J277" s="52"/>
      <c r="K277" s="52"/>
      <c r="L277" s="323"/>
      <c r="M277" s="305"/>
      <c r="N277" s="52"/>
      <c r="O277" s="52"/>
      <c r="P277" s="52"/>
      <c r="Q277" s="122"/>
      <c r="R277" s="123"/>
      <c r="S277" s="124"/>
      <c r="T277" s="37"/>
      <c r="U277" s="37"/>
    </row>
    <row r="278" spans="1:23" ht="16.5" customHeight="1" x14ac:dyDescent="0.25">
      <c r="A278" s="148" t="s">
        <v>73</v>
      </c>
      <c r="B278" s="148"/>
      <c r="C278" s="148"/>
      <c r="D278" s="164"/>
      <c r="E278" s="254">
        <f>+N278*V$278</f>
        <v>110197.64</v>
      </c>
      <c r="F278" s="164"/>
      <c r="G278" s="194">
        <f t="shared" ref="G278:G290" si="53">+F278+E278+D278</f>
        <v>110197.64</v>
      </c>
      <c r="H278" s="218"/>
      <c r="I278" s="218"/>
      <c r="J278" s="218"/>
      <c r="K278" s="164">
        <f t="shared" ref="K278:K290" si="54">+G278-P278</f>
        <v>3209.6399999999994</v>
      </c>
      <c r="L278" s="364"/>
      <c r="M278" s="105"/>
      <c r="N278" s="105">
        <v>106988</v>
      </c>
      <c r="O278" s="9"/>
      <c r="P278" s="67">
        <f>M278+N278+O278</f>
        <v>106988</v>
      </c>
      <c r="Q278" s="9"/>
      <c r="R278" s="9"/>
      <c r="S278" s="12">
        <v>142306</v>
      </c>
      <c r="T278" s="44">
        <v>115712</v>
      </c>
      <c r="U278" s="44">
        <v>78076.34</v>
      </c>
      <c r="V278" s="3">
        <v>1.03</v>
      </c>
      <c r="W278" s="498" t="s">
        <v>545</v>
      </c>
    </row>
    <row r="279" spans="1:23" ht="14.45" customHeight="1" x14ac:dyDescent="0.25">
      <c r="A279" s="148" t="s">
        <v>214</v>
      </c>
      <c r="B279" s="148"/>
      <c r="C279" s="148"/>
      <c r="D279" s="164"/>
      <c r="E279" s="254"/>
      <c r="F279" s="164"/>
      <c r="G279" s="194">
        <f t="shared" si="53"/>
        <v>0</v>
      </c>
      <c r="H279" s="218"/>
      <c r="I279" s="218"/>
      <c r="J279" s="218"/>
      <c r="K279" s="164">
        <f t="shared" si="54"/>
        <v>0</v>
      </c>
      <c r="L279" s="364"/>
      <c r="M279" s="105"/>
      <c r="N279" s="105"/>
      <c r="O279" s="9"/>
      <c r="P279" s="67"/>
      <c r="Q279" s="9"/>
      <c r="R279" s="9"/>
      <c r="S279" s="12">
        <v>0</v>
      </c>
      <c r="T279" s="44">
        <v>10000</v>
      </c>
      <c r="U279" s="44">
        <v>9500</v>
      </c>
    </row>
    <row r="280" spans="1:23" ht="14.45" customHeight="1" x14ac:dyDescent="0.25">
      <c r="A280" s="148" t="s">
        <v>215</v>
      </c>
      <c r="B280" s="148"/>
      <c r="C280" s="148"/>
      <c r="D280" s="181"/>
      <c r="E280" s="254">
        <f>+N280*V$278</f>
        <v>5372.4800000000005</v>
      </c>
      <c r="F280" s="181"/>
      <c r="G280" s="194">
        <f t="shared" si="53"/>
        <v>5372.4800000000005</v>
      </c>
      <c r="H280" s="221"/>
      <c r="I280" s="221"/>
      <c r="J280" s="221"/>
      <c r="K280" s="164">
        <f t="shared" si="54"/>
        <v>156.48000000000047</v>
      </c>
      <c r="L280" s="368"/>
      <c r="M280" s="105"/>
      <c r="N280" s="105">
        <v>5216</v>
      </c>
      <c r="O280" s="9"/>
      <c r="P280" s="67">
        <f t="shared" ref="P280:P290" si="55">M280+N280+O280</f>
        <v>5216</v>
      </c>
      <c r="Q280" s="9"/>
      <c r="R280" s="9"/>
      <c r="S280" s="12">
        <v>4985</v>
      </c>
      <c r="T280" s="44">
        <v>4973</v>
      </c>
      <c r="U280" s="44">
        <v>3170.13</v>
      </c>
    </row>
    <row r="281" spans="1:23" ht="14.45" customHeight="1" x14ac:dyDescent="0.25">
      <c r="A281" s="148" t="s">
        <v>163</v>
      </c>
      <c r="B281" s="148"/>
      <c r="C281" s="148"/>
      <c r="D281" s="181"/>
      <c r="E281" s="254"/>
      <c r="F281" s="181"/>
      <c r="G281" s="194">
        <f t="shared" si="53"/>
        <v>0</v>
      </c>
      <c r="H281" s="221"/>
      <c r="I281" s="221"/>
      <c r="J281" s="221"/>
      <c r="K281" s="164">
        <f t="shared" si="54"/>
        <v>0</v>
      </c>
      <c r="L281" s="368"/>
      <c r="M281" s="105"/>
      <c r="N281" s="105"/>
      <c r="O281" s="9"/>
      <c r="P281" s="67">
        <f t="shared" si="55"/>
        <v>0</v>
      </c>
      <c r="Q281" s="9"/>
      <c r="R281" s="9"/>
      <c r="S281" s="12">
        <v>0</v>
      </c>
      <c r="T281" s="44">
        <v>3355.21</v>
      </c>
      <c r="U281" s="44">
        <v>2360.54</v>
      </c>
    </row>
    <row r="282" spans="1:23" ht="14.45" customHeight="1" x14ac:dyDescent="0.25">
      <c r="A282" s="148" t="s">
        <v>55</v>
      </c>
      <c r="B282" s="148"/>
      <c r="C282" s="148"/>
      <c r="D282" s="181"/>
      <c r="E282" s="254"/>
      <c r="F282" s="181"/>
      <c r="G282" s="194">
        <f t="shared" si="53"/>
        <v>0</v>
      </c>
      <c r="H282" s="221"/>
      <c r="I282" s="221"/>
      <c r="J282" s="221"/>
      <c r="K282" s="164">
        <f t="shared" si="54"/>
        <v>0</v>
      </c>
      <c r="L282" s="368"/>
      <c r="M282" s="105"/>
      <c r="N282" s="105"/>
      <c r="O282" s="9"/>
      <c r="P282" s="67">
        <f t="shared" si="55"/>
        <v>0</v>
      </c>
      <c r="Q282" s="9"/>
      <c r="R282" s="9"/>
      <c r="S282" s="12">
        <v>0</v>
      </c>
      <c r="T282" s="44">
        <v>29717</v>
      </c>
      <c r="U282" s="44">
        <v>0</v>
      </c>
    </row>
    <row r="283" spans="1:23" ht="14.45" customHeight="1" x14ac:dyDescent="0.25">
      <c r="A283" s="148" t="s">
        <v>84</v>
      </c>
      <c r="B283" s="148"/>
      <c r="C283" s="148"/>
      <c r="D283" s="181"/>
      <c r="E283" s="254"/>
      <c r="F283" s="181"/>
      <c r="G283" s="194">
        <f t="shared" si="53"/>
        <v>0</v>
      </c>
      <c r="H283" s="221"/>
      <c r="I283" s="221"/>
      <c r="J283" s="221"/>
      <c r="K283" s="164">
        <f t="shared" si="54"/>
        <v>0</v>
      </c>
      <c r="L283" s="368"/>
      <c r="M283" s="105"/>
      <c r="N283" s="105"/>
      <c r="O283" s="9"/>
      <c r="P283" s="67">
        <f t="shared" si="55"/>
        <v>0</v>
      </c>
      <c r="Q283" s="9"/>
      <c r="R283" s="9"/>
      <c r="S283" s="12">
        <v>0</v>
      </c>
      <c r="T283" s="44">
        <v>4000</v>
      </c>
      <c r="U283" s="44">
        <v>0</v>
      </c>
    </row>
    <row r="284" spans="1:23" ht="14.45" customHeight="1" x14ac:dyDescent="0.25">
      <c r="A284" s="148" t="s">
        <v>57</v>
      </c>
      <c r="B284" s="148"/>
      <c r="C284" s="148"/>
      <c r="D284" s="181"/>
      <c r="E284" s="254">
        <f>+N284*V$278</f>
        <v>517.06000000000006</v>
      </c>
      <c r="F284" s="181"/>
      <c r="G284" s="194">
        <f t="shared" si="53"/>
        <v>517.06000000000006</v>
      </c>
      <c r="H284" s="221"/>
      <c r="I284" s="221"/>
      <c r="J284" s="221"/>
      <c r="K284" s="164">
        <f t="shared" si="54"/>
        <v>15.060000000000059</v>
      </c>
      <c r="L284" s="368"/>
      <c r="M284" s="105"/>
      <c r="N284" s="105">
        <v>502</v>
      </c>
      <c r="O284" s="9"/>
      <c r="P284" s="67">
        <f t="shared" si="55"/>
        <v>502</v>
      </c>
      <c r="Q284" s="9"/>
      <c r="R284" s="9"/>
      <c r="S284" s="12">
        <v>646</v>
      </c>
      <c r="T284" s="44">
        <v>0</v>
      </c>
      <c r="U284" s="44">
        <v>115.86</v>
      </c>
    </row>
    <row r="285" spans="1:23" ht="14.45" customHeight="1" x14ac:dyDescent="0.25">
      <c r="A285" s="148" t="s">
        <v>59</v>
      </c>
      <c r="B285" s="148"/>
      <c r="C285" s="148"/>
      <c r="D285" s="181"/>
      <c r="E285" s="254">
        <f>+N285*V$278</f>
        <v>13791.7</v>
      </c>
      <c r="F285" s="181"/>
      <c r="G285" s="194">
        <f t="shared" si="53"/>
        <v>13791.7</v>
      </c>
      <c r="H285" s="221"/>
      <c r="I285" s="221"/>
      <c r="J285" s="221"/>
      <c r="K285" s="164">
        <f t="shared" si="54"/>
        <v>401.70000000000073</v>
      </c>
      <c r="L285" s="368"/>
      <c r="M285" s="105"/>
      <c r="N285" s="105">
        <v>13390</v>
      </c>
      <c r="O285" s="9"/>
      <c r="P285" s="67">
        <f t="shared" si="55"/>
        <v>13390</v>
      </c>
      <c r="Q285" s="9"/>
      <c r="R285" s="9"/>
      <c r="S285" s="12">
        <v>20007</v>
      </c>
      <c r="T285" s="44">
        <v>5850</v>
      </c>
      <c r="U285" s="44">
        <v>10429.530000000001</v>
      </c>
    </row>
    <row r="286" spans="1:23" ht="14.45" customHeight="1" x14ac:dyDescent="0.25">
      <c r="A286" s="148" t="s">
        <v>60</v>
      </c>
      <c r="B286" s="148"/>
      <c r="C286" s="148"/>
      <c r="D286" s="181"/>
      <c r="E286" s="254"/>
      <c r="F286" s="181"/>
      <c r="G286" s="194">
        <f t="shared" si="53"/>
        <v>0</v>
      </c>
      <c r="H286" s="221"/>
      <c r="I286" s="221"/>
      <c r="J286" s="221"/>
      <c r="K286" s="164">
        <f t="shared" si="54"/>
        <v>0</v>
      </c>
      <c r="L286" s="368"/>
      <c r="M286" s="105"/>
      <c r="N286" s="105"/>
      <c r="O286" s="9"/>
      <c r="P286" s="67">
        <f t="shared" si="55"/>
        <v>0</v>
      </c>
      <c r="Q286" s="9"/>
      <c r="R286" s="9"/>
      <c r="S286" s="12">
        <v>0</v>
      </c>
      <c r="T286" s="44">
        <v>260</v>
      </c>
      <c r="U286" s="44">
        <v>109.54</v>
      </c>
    </row>
    <row r="287" spans="1:23" ht="14.45" customHeight="1" x14ac:dyDescent="0.25">
      <c r="A287" s="148" t="s">
        <v>164</v>
      </c>
      <c r="B287" s="148"/>
      <c r="C287" s="148"/>
      <c r="D287" s="181"/>
      <c r="E287" s="181">
        <v>750</v>
      </c>
      <c r="F287" s="181"/>
      <c r="G287" s="194">
        <f t="shared" si="53"/>
        <v>750</v>
      </c>
      <c r="H287" s="221"/>
      <c r="I287" s="221"/>
      <c r="J287" s="221"/>
      <c r="K287" s="164">
        <f t="shared" si="54"/>
        <v>-750</v>
      </c>
      <c r="L287" s="368"/>
      <c r="M287" s="105"/>
      <c r="N287" s="105">
        <v>1500</v>
      </c>
      <c r="O287" s="9"/>
      <c r="P287" s="67">
        <f t="shared" si="55"/>
        <v>1500</v>
      </c>
      <c r="Q287" s="9"/>
      <c r="R287" s="9"/>
      <c r="S287" s="12"/>
      <c r="T287" s="44">
        <v>5500</v>
      </c>
      <c r="U287" s="44">
        <v>597.41</v>
      </c>
    </row>
    <row r="288" spans="1:23" ht="14.45" customHeight="1" x14ac:dyDescent="0.25">
      <c r="A288" s="144" t="s">
        <v>216</v>
      </c>
      <c r="B288" s="148"/>
      <c r="C288" s="554"/>
      <c r="D288" s="168"/>
      <c r="E288" s="168">
        <v>1200</v>
      </c>
      <c r="F288" s="168"/>
      <c r="G288" s="194">
        <f t="shared" si="53"/>
        <v>1200</v>
      </c>
      <c r="H288" s="221"/>
      <c r="I288" s="221"/>
      <c r="J288" s="221"/>
      <c r="K288" s="164">
        <f t="shared" si="54"/>
        <v>0</v>
      </c>
      <c r="L288" s="368"/>
      <c r="M288" s="105"/>
      <c r="N288" s="105">
        <v>1200</v>
      </c>
      <c r="O288" s="9"/>
      <c r="P288" s="67">
        <f t="shared" si="55"/>
        <v>1200</v>
      </c>
      <c r="Q288" s="9"/>
      <c r="R288" s="9"/>
      <c r="S288" s="12"/>
      <c r="T288" s="44"/>
      <c r="U288" s="90"/>
    </row>
    <row r="289" spans="1:23" ht="14.45" customHeight="1" x14ac:dyDescent="0.25">
      <c r="A289" s="144" t="s">
        <v>182</v>
      </c>
      <c r="B289" s="148"/>
      <c r="C289" s="554"/>
      <c r="D289" s="168"/>
      <c r="E289" s="168">
        <v>450</v>
      </c>
      <c r="F289" s="168"/>
      <c r="G289" s="194">
        <f t="shared" si="53"/>
        <v>450</v>
      </c>
      <c r="H289" s="221"/>
      <c r="I289" s="221"/>
      <c r="J289" s="221"/>
      <c r="K289" s="164">
        <f t="shared" si="54"/>
        <v>0</v>
      </c>
      <c r="L289" s="368"/>
      <c r="M289" s="105"/>
      <c r="N289" s="105">
        <v>450</v>
      </c>
      <c r="O289" s="9"/>
      <c r="P289" s="67">
        <f t="shared" si="55"/>
        <v>450</v>
      </c>
      <c r="Q289" s="9"/>
      <c r="R289" s="9"/>
      <c r="S289" s="12"/>
      <c r="T289" s="44"/>
      <c r="U289" s="90"/>
    </row>
    <row r="290" spans="1:23" ht="14.45" customHeight="1" x14ac:dyDescent="0.25">
      <c r="A290" s="148" t="s">
        <v>217</v>
      </c>
      <c r="B290" s="148"/>
      <c r="C290" s="148"/>
      <c r="D290" s="181"/>
      <c r="E290" s="181">
        <v>5300</v>
      </c>
      <c r="F290" s="181"/>
      <c r="G290" s="194">
        <f t="shared" si="53"/>
        <v>5300</v>
      </c>
      <c r="H290" s="221"/>
      <c r="I290" s="221"/>
      <c r="J290" s="221"/>
      <c r="K290" s="164">
        <f t="shared" si="54"/>
        <v>-890</v>
      </c>
      <c r="L290" s="368"/>
      <c r="M290" s="105"/>
      <c r="N290" s="105">
        <v>6190</v>
      </c>
      <c r="O290" s="9"/>
      <c r="P290" s="67">
        <f t="shared" si="55"/>
        <v>6190</v>
      </c>
      <c r="Q290" s="9"/>
      <c r="R290" s="9"/>
      <c r="S290" s="12"/>
      <c r="T290" s="44">
        <v>0</v>
      </c>
      <c r="U290" s="44">
        <v>1097.54</v>
      </c>
    </row>
    <row r="291" spans="1:23" ht="14.45" customHeight="1" x14ac:dyDescent="0.25">
      <c r="A291" s="142" t="s">
        <v>483</v>
      </c>
      <c r="B291" s="293"/>
      <c r="C291" s="293"/>
      <c r="D291" s="271">
        <f>SUM(D278:D290)</f>
        <v>0</v>
      </c>
      <c r="E291" s="271">
        <f>SUM(E278:E290)</f>
        <v>137578.88</v>
      </c>
      <c r="F291" s="271">
        <f>SUM(F278:F290)</f>
        <v>0</v>
      </c>
      <c r="G291" s="271">
        <f>SUM(G278:G290)</f>
        <v>137578.88</v>
      </c>
      <c r="H291" s="224"/>
      <c r="I291" s="224"/>
      <c r="J291" s="224"/>
      <c r="K291" s="271">
        <f>SUM(K278:K290)</f>
        <v>2142.8800000000006</v>
      </c>
      <c r="L291" s="224"/>
      <c r="M291" s="271">
        <f>SUM(M278:M290)</f>
        <v>0</v>
      </c>
      <c r="N291" s="271">
        <f>SUM(N278:N290)</f>
        <v>135436</v>
      </c>
      <c r="O291" s="271">
        <f>SUM(O278:O290)</f>
        <v>0</v>
      </c>
      <c r="P291" s="271">
        <f>SUM(P278:P290)</f>
        <v>135436</v>
      </c>
      <c r="Q291" s="122"/>
      <c r="R291" s="123"/>
      <c r="S291" s="124"/>
      <c r="T291" s="37"/>
      <c r="U291" s="37"/>
    </row>
    <row r="292" spans="1:23" ht="15" customHeight="1" x14ac:dyDescent="0.25">
      <c r="A292" s="5"/>
      <c r="B292" s="543"/>
      <c r="C292" s="543"/>
      <c r="D292" s="435"/>
      <c r="E292" s="435"/>
      <c r="F292" s="435"/>
      <c r="G292" s="435"/>
      <c r="H292" s="439"/>
      <c r="I292" s="437"/>
      <c r="J292" s="437"/>
      <c r="K292" s="435"/>
      <c r="L292" s="437"/>
      <c r="M292" s="435"/>
      <c r="N292" s="435"/>
      <c r="O292" s="435"/>
      <c r="P292" s="435"/>
      <c r="Q292" s="122"/>
      <c r="R292" s="123"/>
      <c r="S292" s="124"/>
      <c r="T292" s="37"/>
      <c r="U292" s="37"/>
    </row>
    <row r="293" spans="1:23" ht="28.5" x14ac:dyDescent="0.25">
      <c r="A293" s="146" t="s">
        <v>487</v>
      </c>
      <c r="B293" s="564"/>
      <c r="C293" s="564"/>
      <c r="D293" s="146"/>
      <c r="E293" s="146"/>
      <c r="F293" s="146"/>
      <c r="G293" s="146"/>
      <c r="H293" s="146"/>
      <c r="I293" s="146"/>
      <c r="J293" s="146"/>
      <c r="K293" s="146"/>
      <c r="L293" s="326"/>
      <c r="M293" s="305"/>
      <c r="N293" s="78"/>
      <c r="O293" s="78"/>
      <c r="P293" s="53"/>
      <c r="Q293" s="53"/>
      <c r="R293" s="147"/>
      <c r="S293" s="147"/>
      <c r="T293" s="54"/>
      <c r="U293" s="66"/>
      <c r="W293" s="390" t="s">
        <v>458</v>
      </c>
    </row>
    <row r="294" spans="1:23" ht="14.45" customHeight="1" x14ac:dyDescent="0.25">
      <c r="A294" s="711" t="s">
        <v>73</v>
      </c>
      <c r="B294" s="148"/>
      <c r="C294" s="148"/>
      <c r="D294" s="181"/>
      <c r="E294" s="254">
        <v>50000</v>
      </c>
      <c r="F294" s="289">
        <v>100000</v>
      </c>
      <c r="G294" s="194">
        <f>+F294+E294+D294</f>
        <v>150000</v>
      </c>
      <c r="H294" s="221"/>
      <c r="I294" s="221"/>
      <c r="J294" s="221"/>
      <c r="K294" s="164">
        <f t="shared" ref="K294:K298" si="56">+G294-P294</f>
        <v>100115</v>
      </c>
      <c r="L294" s="368"/>
      <c r="M294" s="105"/>
      <c r="N294" s="204">
        <v>49885</v>
      </c>
      <c r="O294" s="9"/>
      <c r="P294" s="67">
        <f>M294+N294+O294</f>
        <v>49885</v>
      </c>
      <c r="Q294" s="9"/>
      <c r="R294" s="9"/>
      <c r="S294" s="12">
        <v>114762</v>
      </c>
      <c r="T294" s="44"/>
      <c r="U294" s="44"/>
      <c r="W294" s="343" t="s">
        <v>461</v>
      </c>
    </row>
    <row r="295" spans="1:23" ht="14.45" customHeight="1" x14ac:dyDescent="0.25">
      <c r="A295" s="145" t="s">
        <v>255</v>
      </c>
      <c r="B295" s="148"/>
      <c r="C295" s="554"/>
      <c r="D295" s="169"/>
      <c r="E295" s="169">
        <v>1000</v>
      </c>
      <c r="F295" s="169"/>
      <c r="G295" s="194">
        <f>+F295+E295+D295</f>
        <v>1000</v>
      </c>
      <c r="H295" s="218"/>
      <c r="I295" s="218"/>
      <c r="J295" s="218"/>
      <c r="K295" s="164">
        <f t="shared" si="56"/>
        <v>0</v>
      </c>
      <c r="L295" s="364"/>
      <c r="M295" s="105"/>
      <c r="N295" s="204">
        <v>1000</v>
      </c>
      <c r="O295" s="9"/>
      <c r="P295" s="67">
        <f>M295+N295+O295</f>
        <v>1000</v>
      </c>
      <c r="Q295" s="9"/>
      <c r="R295" s="9"/>
      <c r="S295" s="12"/>
      <c r="T295" s="44"/>
      <c r="U295" s="44"/>
    </row>
    <row r="296" spans="1:23" ht="14.45" customHeight="1" x14ac:dyDescent="0.25">
      <c r="A296" s="145" t="s">
        <v>63</v>
      </c>
      <c r="B296" s="148"/>
      <c r="C296" s="554"/>
      <c r="D296" s="169"/>
      <c r="E296" s="169">
        <v>500</v>
      </c>
      <c r="F296" s="169"/>
      <c r="G296" s="194">
        <f>+F296+E296+D296</f>
        <v>500</v>
      </c>
      <c r="H296" s="218"/>
      <c r="I296" s="218"/>
      <c r="J296" s="218"/>
      <c r="K296" s="164">
        <f t="shared" si="56"/>
        <v>100</v>
      </c>
      <c r="L296" s="364"/>
      <c r="M296" s="105"/>
      <c r="N296" s="204">
        <v>400</v>
      </c>
      <c r="O296" s="9"/>
      <c r="P296" s="67">
        <f>M296+N296+O296</f>
        <v>400</v>
      </c>
      <c r="Q296" s="9"/>
      <c r="R296" s="9"/>
      <c r="S296" s="12"/>
      <c r="T296" s="44"/>
      <c r="U296" s="44"/>
    </row>
    <row r="297" spans="1:23" ht="14.45" customHeight="1" x14ac:dyDescent="0.25">
      <c r="A297" s="145" t="s">
        <v>64</v>
      </c>
      <c r="B297" s="148"/>
      <c r="C297" s="554"/>
      <c r="D297" s="164"/>
      <c r="E297" s="164">
        <v>200</v>
      </c>
      <c r="F297" s="164"/>
      <c r="G297" s="194">
        <f>+F297+E297+D297</f>
        <v>200</v>
      </c>
      <c r="H297" s="218"/>
      <c r="I297" s="218"/>
      <c r="J297" s="218"/>
      <c r="K297" s="164">
        <f t="shared" si="56"/>
        <v>0</v>
      </c>
      <c r="L297" s="364"/>
      <c r="M297" s="105"/>
      <c r="N297" s="204">
        <v>200</v>
      </c>
      <c r="O297" s="9"/>
      <c r="P297" s="67">
        <f>M297+N297+O297</f>
        <v>200</v>
      </c>
      <c r="Q297" s="9"/>
      <c r="R297" s="9"/>
      <c r="S297" s="12">
        <v>500</v>
      </c>
      <c r="T297" s="44"/>
      <c r="U297" s="44"/>
    </row>
    <row r="298" spans="1:23" ht="14.45" customHeight="1" x14ac:dyDescent="0.25">
      <c r="A298" s="145" t="s">
        <v>65</v>
      </c>
      <c r="B298" s="148"/>
      <c r="C298" s="554"/>
      <c r="D298" s="164"/>
      <c r="E298" s="164">
        <v>6000</v>
      </c>
      <c r="F298" s="164"/>
      <c r="G298" s="194">
        <f>+F298+E298+D298</f>
        <v>6000</v>
      </c>
      <c r="H298" s="218"/>
      <c r="I298" s="218"/>
      <c r="J298" s="218"/>
      <c r="K298" s="164">
        <f t="shared" si="56"/>
        <v>-600</v>
      </c>
      <c r="L298" s="364"/>
      <c r="M298" s="105"/>
      <c r="N298" s="105">
        <v>6600</v>
      </c>
      <c r="O298" s="9"/>
      <c r="P298" s="67">
        <f>M298+N298+O298</f>
        <v>6600</v>
      </c>
      <c r="Q298" s="9"/>
      <c r="R298" s="9"/>
      <c r="S298" s="12">
        <v>500</v>
      </c>
      <c r="T298" s="44"/>
      <c r="U298" s="44"/>
    </row>
    <row r="299" spans="1:23" ht="14.45" customHeight="1" x14ac:dyDescent="0.25">
      <c r="A299" s="142" t="s">
        <v>483</v>
      </c>
      <c r="B299" s="293"/>
      <c r="C299" s="293"/>
      <c r="D299" s="271">
        <f>SUM(D294:D298)</f>
        <v>0</v>
      </c>
      <c r="E299" s="271">
        <f>SUM(E294:E298)</f>
        <v>57700</v>
      </c>
      <c r="F299" s="271">
        <f>SUM(F294:F298)</f>
        <v>100000</v>
      </c>
      <c r="G299" s="470">
        <f>SUM(G294:G298)</f>
        <v>157700</v>
      </c>
      <c r="H299" s="224"/>
      <c r="I299" s="224"/>
      <c r="J299" s="224"/>
      <c r="K299" s="271">
        <f>SUM(K294:K298)</f>
        <v>99615</v>
      </c>
      <c r="L299" s="224"/>
      <c r="M299" s="271">
        <f>SUM(M294:M298)</f>
        <v>0</v>
      </c>
      <c r="N299" s="271">
        <f>SUM(N294:N298)</f>
        <v>58085</v>
      </c>
      <c r="O299" s="271">
        <f>SUM(O294:O298)</f>
        <v>0</v>
      </c>
      <c r="P299" s="271">
        <f>SUM(P294:P298)</f>
        <v>58085</v>
      </c>
      <c r="Q299" s="122"/>
      <c r="R299" s="123"/>
      <c r="S299" s="124"/>
      <c r="T299" s="37"/>
      <c r="U299" s="37"/>
    </row>
    <row r="300" spans="1:23" x14ac:dyDescent="0.25">
      <c r="A300" s="5"/>
      <c r="B300" s="543"/>
      <c r="C300" s="543"/>
      <c r="D300" s="435"/>
      <c r="E300" s="435"/>
      <c r="F300" s="435"/>
      <c r="G300" s="435"/>
      <c r="H300" s="439"/>
      <c r="I300" s="437"/>
      <c r="J300" s="437"/>
      <c r="K300" s="435"/>
      <c r="L300" s="437"/>
      <c r="M300" s="435"/>
      <c r="N300" s="435"/>
      <c r="O300" s="435"/>
      <c r="P300" s="435"/>
      <c r="Q300" s="122"/>
      <c r="R300" s="123"/>
      <c r="S300" s="124"/>
      <c r="T300" s="37"/>
      <c r="U300" s="37"/>
    </row>
    <row r="301" spans="1:23" ht="33.75" customHeight="1" x14ac:dyDescent="0.25">
      <c r="A301" s="52" t="s">
        <v>488</v>
      </c>
      <c r="B301" s="563"/>
      <c r="C301" s="563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122"/>
      <c r="R301" s="123"/>
      <c r="S301" s="124"/>
      <c r="T301" s="37"/>
      <c r="U301" s="37"/>
    </row>
    <row r="302" spans="1:23" ht="17.25" customHeight="1" x14ac:dyDescent="0.25">
      <c r="A302" s="148" t="s">
        <v>73</v>
      </c>
      <c r="B302" s="148"/>
      <c r="C302" s="148"/>
      <c r="D302" s="254">
        <f t="shared" ref="D302:D307" si="57">+M302*V$302</f>
        <v>166729.19</v>
      </c>
      <c r="E302" s="181"/>
      <c r="F302" s="181"/>
      <c r="G302" s="194">
        <f t="shared" ref="G302:G312" si="58">+F302+E302+D302</f>
        <v>166729.19</v>
      </c>
      <c r="H302" s="221"/>
      <c r="I302" s="442"/>
      <c r="J302" s="442"/>
      <c r="K302" s="164">
        <f t="shared" ref="K302:K312" si="59">+G302-P302</f>
        <v>4856.1900000000023</v>
      </c>
      <c r="L302" s="368"/>
      <c r="M302" s="204">
        <v>161873</v>
      </c>
      <c r="N302" s="204"/>
      <c r="O302" s="67"/>
      <c r="P302" s="67">
        <f t="shared" ref="P302:P312" si="60">M302+N302+O302</f>
        <v>161873</v>
      </c>
      <c r="Q302" s="9"/>
      <c r="R302" s="9"/>
      <c r="S302" s="12">
        <v>154801</v>
      </c>
      <c r="T302" s="44">
        <v>70940</v>
      </c>
      <c r="U302" s="44">
        <v>51700.88</v>
      </c>
      <c r="V302" s="3">
        <v>1.03</v>
      </c>
      <c r="W302" s="498" t="s">
        <v>548</v>
      </c>
    </row>
    <row r="303" spans="1:23" ht="14.45" customHeight="1" x14ac:dyDescent="0.25">
      <c r="A303" s="148" t="s">
        <v>215</v>
      </c>
      <c r="B303" s="148"/>
      <c r="C303" s="148"/>
      <c r="D303" s="254">
        <f t="shared" si="57"/>
        <v>5810.2300000000005</v>
      </c>
      <c r="E303" s="181"/>
      <c r="F303" s="181"/>
      <c r="G303" s="194">
        <f t="shared" si="58"/>
        <v>5810.2300000000005</v>
      </c>
      <c r="H303" s="221"/>
      <c r="I303" s="442"/>
      <c r="J303" s="442"/>
      <c r="K303" s="164">
        <f t="shared" si="59"/>
        <v>169.23000000000047</v>
      </c>
      <c r="L303" s="368"/>
      <c r="M303" s="204">
        <v>5641</v>
      </c>
      <c r="N303" s="204"/>
      <c r="O303" s="67"/>
      <c r="P303" s="67">
        <f t="shared" si="60"/>
        <v>5641</v>
      </c>
      <c r="Q303" s="9"/>
      <c r="R303" s="9"/>
      <c r="S303" s="12">
        <v>5391</v>
      </c>
      <c r="T303" s="44">
        <v>5384</v>
      </c>
      <c r="U303" s="44">
        <v>3913.25</v>
      </c>
    </row>
    <row r="304" spans="1:23" ht="14.45" customHeight="1" x14ac:dyDescent="0.25">
      <c r="A304" s="148" t="s">
        <v>55</v>
      </c>
      <c r="B304" s="148"/>
      <c r="C304" s="148"/>
      <c r="D304" s="254">
        <f>+M304*V304</f>
        <v>21230.351999999999</v>
      </c>
      <c r="E304" s="181"/>
      <c r="F304" s="181"/>
      <c r="G304" s="194">
        <f t="shared" si="58"/>
        <v>21230.351999999999</v>
      </c>
      <c r="H304" s="221"/>
      <c r="I304" s="442"/>
      <c r="J304" s="442"/>
      <c r="K304" s="164">
        <f t="shared" si="59"/>
        <v>638.35199999999895</v>
      </c>
      <c r="L304" s="368"/>
      <c r="M304" s="204">
        <v>20592</v>
      </c>
      <c r="N304" s="204"/>
      <c r="O304" s="67"/>
      <c r="P304" s="67">
        <f t="shared" si="60"/>
        <v>20592</v>
      </c>
      <c r="Q304" s="9"/>
      <c r="R304" s="9"/>
      <c r="S304" s="12">
        <v>20084</v>
      </c>
      <c r="T304" s="44">
        <v>0</v>
      </c>
      <c r="U304" s="44">
        <v>2301.9</v>
      </c>
      <c r="V304" s="3">
        <v>1.0309999999999999</v>
      </c>
    </row>
    <row r="305" spans="1:23" ht="14.45" customHeight="1" x14ac:dyDescent="0.25">
      <c r="A305" s="148" t="s">
        <v>84</v>
      </c>
      <c r="B305" s="148"/>
      <c r="C305" s="148"/>
      <c r="D305" s="254">
        <f t="shared" si="57"/>
        <v>4120</v>
      </c>
      <c r="E305" s="181"/>
      <c r="F305" s="181"/>
      <c r="G305" s="194">
        <f t="shared" si="58"/>
        <v>4120</v>
      </c>
      <c r="H305" s="221"/>
      <c r="I305" s="442"/>
      <c r="J305" s="442"/>
      <c r="K305" s="164">
        <f t="shared" si="59"/>
        <v>120</v>
      </c>
      <c r="L305" s="368"/>
      <c r="M305" s="204">
        <v>4000</v>
      </c>
      <c r="N305" s="204"/>
      <c r="O305" s="67"/>
      <c r="P305" s="67">
        <f t="shared" si="60"/>
        <v>4000</v>
      </c>
      <c r="Q305" s="9"/>
      <c r="R305" s="9"/>
      <c r="S305" s="12">
        <v>4000</v>
      </c>
      <c r="T305" s="44">
        <v>2000</v>
      </c>
      <c r="U305" s="44">
        <v>1850</v>
      </c>
      <c r="V305" s="3" t="s">
        <v>523</v>
      </c>
    </row>
    <row r="306" spans="1:23" ht="14.45" customHeight="1" x14ac:dyDescent="0.25">
      <c r="A306" s="148" t="s">
        <v>57</v>
      </c>
      <c r="B306" s="148"/>
      <c r="C306" s="148"/>
      <c r="D306" s="254">
        <f t="shared" si="57"/>
        <v>691.13</v>
      </c>
      <c r="E306" s="181"/>
      <c r="F306" s="181"/>
      <c r="G306" s="194">
        <f t="shared" si="58"/>
        <v>691.13</v>
      </c>
      <c r="H306" s="221"/>
      <c r="I306" s="442"/>
      <c r="J306" s="442"/>
      <c r="K306" s="164">
        <f t="shared" si="59"/>
        <v>20.129999999999995</v>
      </c>
      <c r="L306" s="368"/>
      <c r="M306" s="204">
        <v>671</v>
      </c>
      <c r="N306" s="204"/>
      <c r="O306" s="67"/>
      <c r="P306" s="67">
        <f t="shared" si="60"/>
        <v>671</v>
      </c>
      <c r="Q306" s="9"/>
      <c r="R306" s="9"/>
      <c r="S306" s="12">
        <v>661</v>
      </c>
      <c r="T306" s="44">
        <v>422</v>
      </c>
      <c r="U306" s="44">
        <v>346.68</v>
      </c>
    </row>
    <row r="307" spans="1:23" ht="14.45" customHeight="1" x14ac:dyDescent="0.25">
      <c r="A307" s="148" t="s">
        <v>59</v>
      </c>
      <c r="B307" s="148"/>
      <c r="C307" s="148"/>
      <c r="D307" s="254">
        <f t="shared" si="57"/>
        <v>23475.760000000002</v>
      </c>
      <c r="E307" s="181"/>
      <c r="F307" s="181"/>
      <c r="G307" s="194">
        <f t="shared" si="58"/>
        <v>23475.760000000002</v>
      </c>
      <c r="H307" s="221"/>
      <c r="I307" s="442"/>
      <c r="J307" s="442"/>
      <c r="K307" s="164">
        <f t="shared" si="59"/>
        <v>683.76000000000204</v>
      </c>
      <c r="L307" s="368"/>
      <c r="M307" s="204">
        <v>22792</v>
      </c>
      <c r="N307" s="204"/>
      <c r="O307" s="67"/>
      <c r="P307" s="67">
        <f t="shared" si="60"/>
        <v>22792</v>
      </c>
      <c r="Q307" s="9"/>
      <c r="R307" s="9"/>
      <c r="S307" s="12">
        <v>21799</v>
      </c>
      <c r="T307" s="44">
        <v>6335</v>
      </c>
      <c r="U307" s="44">
        <v>1734.35</v>
      </c>
    </row>
    <row r="308" spans="1:23" ht="14.45" customHeight="1" x14ac:dyDescent="0.25">
      <c r="A308" s="148" t="s">
        <v>354</v>
      </c>
      <c r="B308" s="148"/>
      <c r="C308" s="148"/>
      <c r="D308" s="254"/>
      <c r="E308" s="181"/>
      <c r="F308" s="181"/>
      <c r="G308" s="194">
        <f t="shared" si="58"/>
        <v>0</v>
      </c>
      <c r="H308" s="221"/>
      <c r="I308" s="442"/>
      <c r="J308" s="442"/>
      <c r="K308" s="164">
        <f t="shared" si="59"/>
        <v>0</v>
      </c>
      <c r="L308" s="368"/>
      <c r="M308" s="204"/>
      <c r="N308" s="204"/>
      <c r="O308" s="67"/>
      <c r="P308" s="67">
        <f t="shared" si="60"/>
        <v>0</v>
      </c>
      <c r="Q308" s="9"/>
      <c r="R308" s="9"/>
      <c r="S308" s="12">
        <v>0</v>
      </c>
      <c r="T308" s="44">
        <v>0</v>
      </c>
      <c r="U308" s="44">
        <v>117.6</v>
      </c>
    </row>
    <row r="309" spans="1:23" ht="14.45" customHeight="1" x14ac:dyDescent="0.25">
      <c r="A309" s="148" t="s">
        <v>359</v>
      </c>
      <c r="B309" s="148"/>
      <c r="C309" s="148"/>
      <c r="D309" s="181">
        <v>0</v>
      </c>
      <c r="E309" s="181"/>
      <c r="F309" s="181"/>
      <c r="G309" s="194">
        <f t="shared" si="58"/>
        <v>0</v>
      </c>
      <c r="H309" s="221"/>
      <c r="I309" s="442"/>
      <c r="J309" s="442"/>
      <c r="K309" s="164">
        <f>+G309-P309</f>
        <v>-1000</v>
      </c>
      <c r="L309" s="368"/>
      <c r="M309" s="204">
        <v>1000</v>
      </c>
      <c r="N309" s="204"/>
      <c r="O309" s="67"/>
      <c r="P309" s="67">
        <f t="shared" si="60"/>
        <v>1000</v>
      </c>
      <c r="Q309" s="9"/>
      <c r="R309" s="9"/>
      <c r="S309" s="12">
        <v>1000</v>
      </c>
      <c r="T309" s="44">
        <v>1000</v>
      </c>
      <c r="U309" s="44">
        <v>747.8</v>
      </c>
    </row>
    <row r="310" spans="1:23" ht="14.45" customHeight="1" x14ac:dyDescent="0.25">
      <c r="A310" s="148" t="s">
        <v>63</v>
      </c>
      <c r="B310" s="148"/>
      <c r="C310" s="148"/>
      <c r="D310" s="181">
        <v>0</v>
      </c>
      <c r="E310" s="181"/>
      <c r="F310" s="181"/>
      <c r="G310" s="194">
        <f t="shared" si="58"/>
        <v>0</v>
      </c>
      <c r="H310" s="221"/>
      <c r="I310" s="442"/>
      <c r="J310" s="442"/>
      <c r="K310" s="164">
        <f t="shared" si="59"/>
        <v>-1500</v>
      </c>
      <c r="L310" s="368"/>
      <c r="M310" s="204">
        <v>1500</v>
      </c>
      <c r="N310" s="204"/>
      <c r="O310" s="67"/>
      <c r="P310" s="67">
        <f t="shared" si="60"/>
        <v>1500</v>
      </c>
      <c r="Q310" s="9"/>
      <c r="R310" s="9"/>
      <c r="S310" s="12">
        <v>1500</v>
      </c>
      <c r="T310" s="44">
        <v>3000</v>
      </c>
      <c r="U310" s="44">
        <v>1426.6</v>
      </c>
    </row>
    <row r="311" spans="1:23" ht="14.45" customHeight="1" x14ac:dyDescent="0.25">
      <c r="A311" s="148" t="s">
        <v>64</v>
      </c>
      <c r="B311" s="148"/>
      <c r="C311" s="148"/>
      <c r="D311" s="181">
        <v>100</v>
      </c>
      <c r="E311" s="181"/>
      <c r="F311" s="181"/>
      <c r="G311" s="194">
        <f t="shared" si="58"/>
        <v>100</v>
      </c>
      <c r="H311" s="221"/>
      <c r="I311" s="442"/>
      <c r="J311" s="442"/>
      <c r="K311" s="164">
        <f t="shared" si="59"/>
        <v>-1400</v>
      </c>
      <c r="L311" s="368"/>
      <c r="M311" s="204">
        <v>1500</v>
      </c>
      <c r="N311" s="204"/>
      <c r="O311" s="67"/>
      <c r="P311" s="67">
        <f t="shared" si="60"/>
        <v>1500</v>
      </c>
      <c r="Q311" s="9"/>
      <c r="R311" s="9"/>
      <c r="S311" s="12">
        <v>1500</v>
      </c>
      <c r="T311" s="44">
        <v>3000</v>
      </c>
      <c r="U311" s="44">
        <v>1973.09</v>
      </c>
    </row>
    <row r="312" spans="1:23" ht="14.45" customHeight="1" x14ac:dyDescent="0.25">
      <c r="A312" s="148" t="s">
        <v>65</v>
      </c>
      <c r="B312" s="148"/>
      <c r="C312" s="148"/>
      <c r="D312" s="181">
        <v>2500</v>
      </c>
      <c r="E312" s="181"/>
      <c r="F312" s="181"/>
      <c r="G312" s="194">
        <f t="shared" si="58"/>
        <v>2500</v>
      </c>
      <c r="H312" s="221"/>
      <c r="I312" s="442"/>
      <c r="J312" s="442"/>
      <c r="K312" s="164">
        <f t="shared" si="59"/>
        <v>-13500</v>
      </c>
      <c r="L312" s="368"/>
      <c r="M312" s="204">
        <v>16000</v>
      </c>
      <c r="N312" s="204"/>
      <c r="O312" s="67"/>
      <c r="P312" s="67">
        <f t="shared" si="60"/>
        <v>16000</v>
      </c>
      <c r="Q312" s="9"/>
      <c r="R312" s="9"/>
      <c r="S312" s="12">
        <v>12000</v>
      </c>
      <c r="T312" s="44">
        <v>3000</v>
      </c>
      <c r="U312" s="44">
        <v>318.13</v>
      </c>
    </row>
    <row r="313" spans="1:23" ht="14.45" customHeight="1" x14ac:dyDescent="0.25">
      <c r="A313" s="142" t="s">
        <v>483</v>
      </c>
      <c r="B313" s="293"/>
      <c r="C313" s="293"/>
      <c r="D313" s="271">
        <f>SUM(D302:D312)</f>
        <v>224656.66200000001</v>
      </c>
      <c r="E313" s="271">
        <f>SUM(E302:E312)</f>
        <v>0</v>
      </c>
      <c r="F313" s="271">
        <f>SUM(F302:F312)</f>
        <v>0</v>
      </c>
      <c r="G313" s="271">
        <f>SUM(G302:G312)</f>
        <v>224656.66200000001</v>
      </c>
      <c r="H313" s="224"/>
      <c r="I313" s="224"/>
      <c r="J313" s="224"/>
      <c r="K313" s="271">
        <f>SUM(K302:K312)</f>
        <v>-10912.337999999996</v>
      </c>
      <c r="L313" s="224"/>
      <c r="M313" s="271">
        <f>SUM(M302:M312)</f>
        <v>235569</v>
      </c>
      <c r="N313" s="271">
        <f>SUM(N302:N312)</f>
        <v>0</v>
      </c>
      <c r="O313" s="271">
        <f>SUM(O302:O312)</f>
        <v>0</v>
      </c>
      <c r="P313" s="271">
        <f>SUM(P302:P312)</f>
        <v>235569</v>
      </c>
      <c r="Q313" s="122"/>
      <c r="R313" s="123"/>
      <c r="S313" s="124"/>
      <c r="T313" s="37"/>
      <c r="U313" s="37"/>
    </row>
    <row r="314" spans="1:23" ht="9.9499999999999993" customHeight="1" x14ac:dyDescent="0.25">
      <c r="A314" s="5"/>
      <c r="B314" s="543"/>
      <c r="C314" s="543"/>
      <c r="D314" s="435"/>
      <c r="E314" s="435"/>
      <c r="F314" s="435"/>
      <c r="G314" s="435"/>
      <c r="H314" s="439"/>
      <c r="I314" s="437"/>
      <c r="J314" s="437"/>
      <c r="K314" s="435"/>
      <c r="L314" s="437"/>
      <c r="M314" s="435"/>
      <c r="N314" s="435"/>
      <c r="O314" s="435"/>
      <c r="P314" s="435"/>
      <c r="Q314" s="122"/>
      <c r="R314" s="123"/>
      <c r="S314" s="124"/>
      <c r="T314" s="37"/>
      <c r="U314" s="37"/>
    </row>
    <row r="315" spans="1:23" s="604" customFormat="1" ht="41.1" customHeight="1" x14ac:dyDescent="0.25">
      <c r="A315" s="583" t="s">
        <v>485</v>
      </c>
      <c r="B315" s="583"/>
      <c r="C315" s="583"/>
      <c r="D315" s="584">
        <f>D77+D100+D124+D151+D159+D180+D197+D214+D225+D233+D313+D299+D291+D275+D264+D249</f>
        <v>2528234.821</v>
      </c>
      <c r="E315" s="584">
        <f>E77+E100+E124+E151+E159+E180+E197+E214+E225+E233+E313+E299+E291+E275+E264+E249</f>
        <v>840592.26600000006</v>
      </c>
      <c r="F315" s="584">
        <f>F77+F100+F124+F151+F159+F180+F197+F214+F225+F233+F313+F299+F291+F275+F264+F249</f>
        <v>514060.00320000004</v>
      </c>
      <c r="G315" s="584">
        <f>G77+G100+G124+G151+G159+G180+G197+G214+G225+G233+G313+G299+G291+G275+G264+G249</f>
        <v>3882887.0902</v>
      </c>
      <c r="H315" s="585"/>
      <c r="I315" s="586">
        <f>+G315/G$786</f>
        <v>0.70084841077440252</v>
      </c>
      <c r="J315" s="585"/>
      <c r="K315" s="584">
        <f>K77+K100+K124+K151+K159+K180+K197+K214+K225+K233+K313+K299+K291+K275+K264+K249</f>
        <v>79908.090200000006</v>
      </c>
      <c r="L315" s="598"/>
      <c r="M315" s="584">
        <f>M77+M100+M124+M151+M159+M180+M197+M214+M225+M233+M313+M299+M291+M275+M264+M249</f>
        <v>2584964</v>
      </c>
      <c r="N315" s="584">
        <f>N77+N100+N124+N151+N159+N180+N197+N214+N225+N233+N313+N299+N291+N275+N264+N249</f>
        <v>753534</v>
      </c>
      <c r="O315" s="584">
        <f>O77+O100+O124+O151+O159+O180+O197+O214+O225+O233+O313+O299+O291+O275+O264+O249</f>
        <v>464481</v>
      </c>
      <c r="P315" s="584">
        <f>P77+P100+P124+P151+P159+P180+P197+P214+P225+P233+P313+P299+P291+P275+P264+P249</f>
        <v>3802979</v>
      </c>
      <c r="Q315" s="599">
        <f>P315/P49</f>
        <v>0.57579367001980386</v>
      </c>
      <c r="R315" s="600">
        <f>P315-S315</f>
        <v>773165</v>
      </c>
      <c r="S315" s="601">
        <f>S77+S100+S124+S151+S159+S180+S197+S214+S225+S233</f>
        <v>3029814</v>
      </c>
      <c r="T315" s="602">
        <f>T77+T100+T124+T151+T159+T180+T197+T214+T225+T233</f>
        <v>2566112.4</v>
      </c>
      <c r="U315" s="603">
        <f>U77+U100+U124+U151+U159+U180+U197+U214+U225+U233</f>
        <v>2413953.2300000004</v>
      </c>
      <c r="W315" s="605"/>
    </row>
    <row r="316" spans="1:23" ht="30" customHeight="1" x14ac:dyDescent="0.25">
      <c r="A316" s="69"/>
      <c r="B316" s="69"/>
      <c r="C316" s="69"/>
      <c r="D316" s="189"/>
      <c r="E316" s="189"/>
      <c r="F316" s="189"/>
      <c r="G316" s="189"/>
      <c r="H316" s="216"/>
      <c r="I316" s="213"/>
      <c r="J316" s="213"/>
      <c r="K316" s="233"/>
      <c r="L316" s="213"/>
      <c r="M316" s="86"/>
      <c r="N316" s="86"/>
      <c r="O316" s="86"/>
      <c r="P316" s="69"/>
      <c r="Q316" s="69"/>
      <c r="R316" s="87"/>
      <c r="S316" s="73"/>
      <c r="T316" s="73"/>
      <c r="U316" s="73"/>
    </row>
    <row r="317" spans="1:23" ht="30" customHeight="1" x14ac:dyDescent="0.25">
      <c r="A317" s="248" t="s">
        <v>161</v>
      </c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326"/>
      <c r="M317" s="305"/>
      <c r="N317" s="146"/>
      <c r="O317" s="146"/>
      <c r="P317" s="146"/>
      <c r="Q317" s="146"/>
      <c r="R317" s="146"/>
      <c r="S317" s="146"/>
      <c r="T317" s="146"/>
      <c r="U317" s="146"/>
      <c r="W317" s="390" t="s">
        <v>457</v>
      </c>
    </row>
    <row r="318" spans="1:23" ht="30" hidden="1" customHeight="1" x14ac:dyDescent="0.25"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R318" s="3"/>
    </row>
    <row r="319" spans="1:23" ht="14.45" hidden="1" customHeight="1" x14ac:dyDescent="0.25"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R319" s="3"/>
    </row>
    <row r="320" spans="1:23" ht="14.45" hidden="1" customHeight="1" x14ac:dyDescent="0.25"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R320" s="3"/>
    </row>
    <row r="321" spans="1:21" ht="14.45" hidden="1" customHeight="1" x14ac:dyDescent="0.25"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R321" s="3"/>
    </row>
    <row r="322" spans="1:21" ht="14.45" hidden="1" customHeight="1" x14ac:dyDescent="0.25"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R322" s="3"/>
    </row>
    <row r="323" spans="1:21" ht="14.45" hidden="1" customHeight="1" x14ac:dyDescent="0.25"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R323" s="3"/>
    </row>
    <row r="324" spans="1:21" ht="14.45" hidden="1" customHeight="1" x14ac:dyDescent="0.25"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R324" s="3"/>
    </row>
    <row r="325" spans="1:21" ht="14.45" hidden="1" customHeight="1" x14ac:dyDescent="0.25"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R325" s="3"/>
    </row>
    <row r="326" spans="1:21" ht="14.45" hidden="1" customHeight="1" x14ac:dyDescent="0.25">
      <c r="A326" s="7" t="s">
        <v>60</v>
      </c>
      <c r="B326" s="148"/>
      <c r="C326" s="148"/>
      <c r="D326" s="255"/>
      <c r="E326" s="164"/>
      <c r="F326" s="164"/>
      <c r="G326" s="194">
        <f t="shared" ref="G326:G344" si="61">+F326+E326+D326</f>
        <v>0</v>
      </c>
      <c r="H326" s="218"/>
      <c r="I326" s="218"/>
      <c r="J326" s="218"/>
      <c r="K326" s="218"/>
      <c r="L326" s="364"/>
      <c r="M326" s="105"/>
      <c r="N326" s="105"/>
      <c r="O326" s="9"/>
      <c r="P326" s="67">
        <f t="shared" ref="P326:P345" si="62">M326+N326+O326</f>
        <v>0</v>
      </c>
      <c r="Q326" s="9"/>
      <c r="R326" s="9"/>
      <c r="S326" s="12">
        <v>0</v>
      </c>
      <c r="T326" s="44">
        <v>473</v>
      </c>
      <c r="U326" s="44">
        <v>217.47</v>
      </c>
    </row>
    <row r="327" spans="1:21" ht="14.45" hidden="1" customHeight="1" x14ac:dyDescent="0.25"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Q327" s="9"/>
      <c r="R327" s="9"/>
      <c r="S327" s="12">
        <v>1200</v>
      </c>
      <c r="T327" s="44">
        <v>1500</v>
      </c>
      <c r="U327" s="44">
        <v>784.67</v>
      </c>
    </row>
    <row r="328" spans="1:21" ht="14.45" hidden="1" customHeight="1" x14ac:dyDescent="0.25"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Q328" s="9"/>
      <c r="R328" s="9"/>
      <c r="S328" s="12">
        <v>3200</v>
      </c>
      <c r="T328" s="44">
        <v>250</v>
      </c>
      <c r="U328" s="44">
        <v>1686.37</v>
      </c>
    </row>
    <row r="329" spans="1:21" ht="14.45" hidden="1" customHeight="1" x14ac:dyDescent="0.25"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Q329" s="9"/>
      <c r="R329" s="9"/>
      <c r="S329" s="12">
        <v>1200</v>
      </c>
      <c r="T329" s="44">
        <v>1000</v>
      </c>
      <c r="U329" s="44">
        <v>36.78</v>
      </c>
    </row>
    <row r="330" spans="1:21" ht="14.45" hidden="1" customHeight="1" x14ac:dyDescent="0.25"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Q330" s="9"/>
      <c r="R330" s="9"/>
      <c r="S330" s="12">
        <v>600</v>
      </c>
      <c r="T330" s="44">
        <v>500</v>
      </c>
      <c r="U330" s="44">
        <v>1594.39</v>
      </c>
    </row>
    <row r="331" spans="1:21" ht="14.45" hidden="1" customHeight="1" x14ac:dyDescent="0.25"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Q331" s="9"/>
      <c r="R331" s="9"/>
      <c r="S331" s="12">
        <v>9240</v>
      </c>
      <c r="T331" s="44">
        <v>2500</v>
      </c>
      <c r="U331" s="44">
        <v>2011.85</v>
      </c>
    </row>
    <row r="332" spans="1:21" ht="14.45" customHeight="1" x14ac:dyDescent="0.25">
      <c r="A332" s="7" t="s">
        <v>165</v>
      </c>
      <c r="B332" s="148"/>
      <c r="C332" s="148"/>
      <c r="D332" s="255"/>
      <c r="E332" s="164">
        <v>3000</v>
      </c>
      <c r="F332" s="164"/>
      <c r="G332" s="194">
        <f t="shared" si="61"/>
        <v>3000</v>
      </c>
      <c r="H332" s="218"/>
      <c r="I332" s="218"/>
      <c r="J332" s="218"/>
      <c r="K332" s="164">
        <f t="shared" ref="K332:K344" si="63">+G332-P332</f>
        <v>3000</v>
      </c>
      <c r="L332" s="364"/>
      <c r="M332" s="105"/>
      <c r="N332" s="105"/>
      <c r="O332" s="9"/>
      <c r="P332" s="67">
        <f t="shared" si="62"/>
        <v>0</v>
      </c>
      <c r="Q332" s="9"/>
      <c r="R332" s="9"/>
      <c r="S332" s="12">
        <v>3000</v>
      </c>
      <c r="T332" s="44">
        <v>10000</v>
      </c>
      <c r="U332" s="44">
        <v>5531.69</v>
      </c>
    </row>
    <row r="333" spans="1:21" ht="14.45" hidden="1" customHeight="1" x14ac:dyDescent="0.25">
      <c r="A333" s="7" t="s">
        <v>166</v>
      </c>
      <c r="B333" s="148"/>
      <c r="C333" s="148"/>
      <c r="D333" s="255"/>
      <c r="E333" s="164"/>
      <c r="F333" s="164"/>
      <c r="G333" s="194">
        <f t="shared" si="61"/>
        <v>0</v>
      </c>
      <c r="H333" s="218"/>
      <c r="I333" s="218"/>
      <c r="J333" s="218"/>
      <c r="K333" s="164">
        <f t="shared" si="63"/>
        <v>0</v>
      </c>
      <c r="L333" s="364"/>
      <c r="M333" s="105"/>
      <c r="N333" s="105"/>
      <c r="O333" s="9"/>
      <c r="P333" s="67">
        <f t="shared" si="62"/>
        <v>0</v>
      </c>
      <c r="Q333" s="9"/>
      <c r="R333" s="9"/>
      <c r="S333" s="12">
        <v>0</v>
      </c>
      <c r="T333" s="44">
        <v>1000</v>
      </c>
      <c r="U333" s="44">
        <v>0</v>
      </c>
    </row>
    <row r="334" spans="1:21" ht="14.45" customHeight="1" x14ac:dyDescent="0.25">
      <c r="A334" s="7" t="s">
        <v>78</v>
      </c>
      <c r="B334" s="148"/>
      <c r="C334" s="148"/>
      <c r="D334" s="255"/>
      <c r="E334" s="164">
        <v>144</v>
      </c>
      <c r="F334" s="164"/>
      <c r="G334" s="194">
        <f t="shared" si="61"/>
        <v>144</v>
      </c>
      <c r="H334" s="218"/>
      <c r="I334" s="218"/>
      <c r="J334" s="218"/>
      <c r="K334" s="164">
        <f t="shared" si="63"/>
        <v>0</v>
      </c>
      <c r="L334" s="364"/>
      <c r="M334" s="105"/>
      <c r="N334" s="105">
        <v>144</v>
      </c>
      <c r="O334" s="9"/>
      <c r="P334" s="67">
        <f t="shared" si="62"/>
        <v>144</v>
      </c>
      <c r="Q334" s="9"/>
      <c r="R334" s="9"/>
      <c r="S334" s="12">
        <v>900</v>
      </c>
      <c r="T334" s="44">
        <v>1000</v>
      </c>
      <c r="U334" s="44">
        <v>1687.33</v>
      </c>
    </row>
    <row r="335" spans="1:21" ht="14.45" customHeight="1" x14ac:dyDescent="0.25">
      <c r="A335" s="7" t="s">
        <v>167</v>
      </c>
      <c r="B335" s="148"/>
      <c r="C335" s="148"/>
      <c r="D335" s="255"/>
      <c r="E335" s="164">
        <v>1000</v>
      </c>
      <c r="F335" s="164"/>
      <c r="G335" s="194">
        <f t="shared" si="61"/>
        <v>1000</v>
      </c>
      <c r="H335" s="218"/>
      <c r="I335" s="218"/>
      <c r="J335" s="218"/>
      <c r="K335" s="164">
        <f t="shared" si="63"/>
        <v>1000</v>
      </c>
      <c r="L335" s="364"/>
      <c r="M335" s="105"/>
      <c r="N335" s="105"/>
      <c r="O335" s="9"/>
      <c r="P335" s="9">
        <f t="shared" si="62"/>
        <v>0</v>
      </c>
      <c r="Q335" s="9"/>
      <c r="R335" s="9"/>
      <c r="S335" s="12">
        <v>4500</v>
      </c>
      <c r="T335" s="44">
        <v>1000</v>
      </c>
      <c r="U335" s="44">
        <v>5081.82</v>
      </c>
    </row>
    <row r="336" spans="1:21" ht="14.45" customHeight="1" x14ac:dyDescent="0.25">
      <c r="A336" s="7" t="s">
        <v>168</v>
      </c>
      <c r="B336" s="148"/>
      <c r="C336" s="148"/>
      <c r="D336" s="255"/>
      <c r="E336" s="164">
        <v>1500</v>
      </c>
      <c r="F336" s="164"/>
      <c r="G336" s="194">
        <f t="shared" si="61"/>
        <v>1500</v>
      </c>
      <c r="H336" s="218"/>
      <c r="I336" s="218"/>
      <c r="J336" s="218"/>
      <c r="K336" s="164">
        <f t="shared" si="63"/>
        <v>1500</v>
      </c>
      <c r="L336" s="364"/>
      <c r="M336" s="105"/>
      <c r="N336" s="105"/>
      <c r="O336" s="9"/>
      <c r="P336" s="9">
        <f t="shared" si="62"/>
        <v>0</v>
      </c>
      <c r="Q336" s="9"/>
      <c r="R336" s="9"/>
      <c r="S336" s="12">
        <v>100</v>
      </c>
      <c r="T336" s="44">
        <v>1000</v>
      </c>
      <c r="U336" s="44">
        <v>650</v>
      </c>
    </row>
    <row r="337" spans="1:23" ht="14.45" customHeight="1" x14ac:dyDescent="0.25">
      <c r="A337" s="7" t="s">
        <v>169</v>
      </c>
      <c r="B337" s="148"/>
      <c r="C337" s="148"/>
      <c r="D337" s="255"/>
      <c r="E337" s="164">
        <v>0</v>
      </c>
      <c r="F337" s="164"/>
      <c r="G337" s="194">
        <f t="shared" si="61"/>
        <v>0</v>
      </c>
      <c r="H337" s="218"/>
      <c r="I337" s="218"/>
      <c r="J337" s="218"/>
      <c r="K337" s="164">
        <f t="shared" si="63"/>
        <v>0</v>
      </c>
      <c r="L337" s="364"/>
      <c r="M337" s="105"/>
      <c r="N337" s="105"/>
      <c r="O337" s="9"/>
      <c r="P337" s="9">
        <f t="shared" si="62"/>
        <v>0</v>
      </c>
      <c r="Q337" s="9"/>
      <c r="R337" s="9"/>
      <c r="S337" s="12">
        <v>12800</v>
      </c>
      <c r="T337" s="44">
        <v>10000</v>
      </c>
      <c r="U337" s="44">
        <v>10123.030000000001</v>
      </c>
    </row>
    <row r="338" spans="1:23" ht="14.45" customHeight="1" x14ac:dyDescent="0.25">
      <c r="A338" s="7" t="s">
        <v>170</v>
      </c>
      <c r="B338" s="148"/>
      <c r="C338" s="148"/>
      <c r="D338" s="255"/>
      <c r="E338" s="164">
        <v>0</v>
      </c>
      <c r="F338" s="164"/>
      <c r="G338" s="194">
        <f t="shared" si="61"/>
        <v>0</v>
      </c>
      <c r="H338" s="218"/>
      <c r="I338" s="218"/>
      <c r="J338" s="218"/>
      <c r="K338" s="164">
        <f t="shared" si="63"/>
        <v>0</v>
      </c>
      <c r="L338" s="364"/>
      <c r="M338" s="105"/>
      <c r="N338" s="105"/>
      <c r="O338" s="9"/>
      <c r="P338" s="9">
        <f t="shared" si="62"/>
        <v>0</v>
      </c>
      <c r="Q338" s="9"/>
      <c r="R338" s="9"/>
      <c r="S338" s="12">
        <v>5000</v>
      </c>
      <c r="T338" s="44">
        <v>0</v>
      </c>
      <c r="U338" s="44">
        <v>0</v>
      </c>
    </row>
    <row r="339" spans="1:23" ht="14.45" customHeight="1" x14ac:dyDescent="0.25">
      <c r="A339" s="7" t="s">
        <v>67</v>
      </c>
      <c r="B339" s="148"/>
      <c r="C339" s="148"/>
      <c r="D339" s="255"/>
      <c r="E339" s="164">
        <v>500</v>
      </c>
      <c r="F339" s="164"/>
      <c r="G339" s="194">
        <f t="shared" si="61"/>
        <v>500</v>
      </c>
      <c r="H339" s="218"/>
      <c r="I339" s="218"/>
      <c r="J339" s="218"/>
      <c r="K339" s="164">
        <f t="shared" si="63"/>
        <v>500</v>
      </c>
      <c r="L339" s="364"/>
      <c r="M339" s="105"/>
      <c r="N339" s="105"/>
      <c r="O339" s="9"/>
      <c r="P339" s="9">
        <f t="shared" si="62"/>
        <v>0</v>
      </c>
      <c r="Q339" s="9"/>
      <c r="R339" s="9"/>
      <c r="S339" s="12">
        <v>500</v>
      </c>
      <c r="T339" s="44">
        <v>420</v>
      </c>
      <c r="U339" s="44">
        <v>394.92</v>
      </c>
    </row>
    <row r="340" spans="1:23" ht="14.45" customHeight="1" x14ac:dyDescent="0.25">
      <c r="A340" s="7" t="s">
        <v>79</v>
      </c>
      <c r="B340" s="148"/>
      <c r="C340" s="148"/>
      <c r="D340" s="255"/>
      <c r="E340" s="164">
        <v>500</v>
      </c>
      <c r="F340" s="164"/>
      <c r="G340" s="194">
        <f t="shared" si="61"/>
        <v>500</v>
      </c>
      <c r="H340" s="218"/>
      <c r="I340" s="218"/>
      <c r="J340" s="218"/>
      <c r="K340" s="164">
        <f t="shared" si="63"/>
        <v>500</v>
      </c>
      <c r="L340" s="364"/>
      <c r="M340" s="105"/>
      <c r="N340" s="105"/>
      <c r="O340" s="9"/>
      <c r="P340" s="9">
        <f t="shared" si="62"/>
        <v>0</v>
      </c>
      <c r="Q340" s="9"/>
      <c r="R340" s="9"/>
      <c r="S340" s="12">
        <v>900</v>
      </c>
      <c r="T340" s="44">
        <v>1000</v>
      </c>
      <c r="U340" s="44">
        <v>658.78</v>
      </c>
    </row>
    <row r="341" spans="1:23" ht="14.45" customHeight="1" x14ac:dyDescent="0.25">
      <c r="A341" s="7" t="s">
        <v>102</v>
      </c>
      <c r="B341" s="148"/>
      <c r="C341" s="148"/>
      <c r="D341" s="255"/>
      <c r="E341" s="164">
        <v>0</v>
      </c>
      <c r="F341" s="164"/>
      <c r="G341" s="194">
        <f t="shared" si="61"/>
        <v>0</v>
      </c>
      <c r="H341" s="218"/>
      <c r="I341" s="218"/>
      <c r="J341" s="218"/>
      <c r="K341" s="164">
        <f t="shared" si="63"/>
        <v>0</v>
      </c>
      <c r="L341" s="364"/>
      <c r="M341" s="105"/>
      <c r="N341" s="105"/>
      <c r="O341" s="9"/>
      <c r="P341" s="9">
        <f t="shared" si="62"/>
        <v>0</v>
      </c>
      <c r="Q341" s="9"/>
      <c r="R341" s="9"/>
      <c r="S341" s="12">
        <v>3000</v>
      </c>
      <c r="T341" s="44">
        <v>2900</v>
      </c>
      <c r="U341" s="44">
        <v>137.54</v>
      </c>
    </row>
    <row r="342" spans="1:23" ht="14.45" hidden="1" customHeight="1" x14ac:dyDescent="0.25">
      <c r="A342" s="242" t="s">
        <v>404</v>
      </c>
      <c r="B342" s="148"/>
      <c r="C342" s="148"/>
      <c r="D342" s="255"/>
      <c r="E342" s="164">
        <v>0</v>
      </c>
      <c r="F342" s="164"/>
      <c r="G342" s="194">
        <f t="shared" si="61"/>
        <v>0</v>
      </c>
      <c r="H342" s="218"/>
      <c r="I342" s="218"/>
      <c r="J342" s="218"/>
      <c r="K342" s="164">
        <f t="shared" si="63"/>
        <v>0</v>
      </c>
      <c r="L342" s="364"/>
      <c r="M342" s="105">
        <v>0</v>
      </c>
      <c r="N342" s="105"/>
      <c r="O342" s="9"/>
      <c r="P342" s="9">
        <f t="shared" ref="P342" si="64">M342+N342+O342</f>
        <v>0</v>
      </c>
      <c r="Q342" s="9"/>
      <c r="R342" s="9"/>
      <c r="S342" s="12">
        <v>3000</v>
      </c>
      <c r="T342" s="44">
        <v>2900</v>
      </c>
      <c r="U342" s="44">
        <v>137.54</v>
      </c>
    </row>
    <row r="343" spans="1:23" ht="14.45" customHeight="1" x14ac:dyDescent="0.25">
      <c r="A343" s="148" t="s">
        <v>171</v>
      </c>
      <c r="B343" s="148"/>
      <c r="C343" s="148"/>
      <c r="D343" s="255"/>
      <c r="E343" s="164">
        <v>5000</v>
      </c>
      <c r="F343" s="164"/>
      <c r="G343" s="194">
        <f t="shared" si="61"/>
        <v>5000</v>
      </c>
      <c r="H343" s="218"/>
      <c r="I343" s="218"/>
      <c r="J343" s="218"/>
      <c r="K343" s="164">
        <f t="shared" si="63"/>
        <v>5000</v>
      </c>
      <c r="L343" s="364"/>
      <c r="M343" s="105">
        <v>0</v>
      </c>
      <c r="N343" s="105">
        <v>0</v>
      </c>
      <c r="O343" s="9">
        <v>0</v>
      </c>
      <c r="P343" s="9">
        <f t="shared" si="62"/>
        <v>0</v>
      </c>
      <c r="Q343" s="9"/>
      <c r="R343" s="9"/>
      <c r="S343" s="12"/>
      <c r="T343" s="44"/>
      <c r="U343" s="44"/>
    </row>
    <row r="344" spans="1:23" ht="14.45" customHeight="1" x14ac:dyDescent="0.25">
      <c r="A344" s="7" t="s">
        <v>172</v>
      </c>
      <c r="B344" s="148"/>
      <c r="C344" s="148"/>
      <c r="D344" s="255"/>
      <c r="E344" s="164">
        <v>1080</v>
      </c>
      <c r="F344" s="164"/>
      <c r="G344" s="194">
        <f t="shared" si="61"/>
        <v>1080</v>
      </c>
      <c r="H344" s="218"/>
      <c r="I344" s="218"/>
      <c r="J344" s="218"/>
      <c r="K344" s="164">
        <f t="shared" si="63"/>
        <v>0</v>
      </c>
      <c r="L344" s="364"/>
      <c r="M344" s="105"/>
      <c r="N344" s="105">
        <v>1080</v>
      </c>
      <c r="O344" s="9"/>
      <c r="P344" s="67">
        <f t="shared" si="62"/>
        <v>1080</v>
      </c>
      <c r="Q344" s="9"/>
      <c r="R344" s="9"/>
      <c r="S344" s="12">
        <v>1080</v>
      </c>
      <c r="T344" s="44">
        <v>1080</v>
      </c>
      <c r="U344" s="44">
        <v>1080.04</v>
      </c>
    </row>
    <row r="345" spans="1:23" ht="14.45" hidden="1" customHeight="1" x14ac:dyDescent="0.25">
      <c r="A345" s="7" t="s">
        <v>173</v>
      </c>
      <c r="B345" s="148"/>
      <c r="C345" s="148"/>
      <c r="D345" s="164"/>
      <c r="E345" s="164"/>
      <c r="F345" s="164"/>
      <c r="G345" s="194"/>
      <c r="H345" s="218"/>
      <c r="I345" s="218"/>
      <c r="J345" s="218"/>
      <c r="K345" s="218"/>
      <c r="L345" s="364"/>
      <c r="M345" s="105"/>
      <c r="N345" s="105"/>
      <c r="O345" s="9"/>
      <c r="P345" s="9">
        <f t="shared" si="62"/>
        <v>0</v>
      </c>
      <c r="Q345" s="9"/>
      <c r="R345" s="9"/>
      <c r="S345" s="12">
        <v>0</v>
      </c>
      <c r="T345" s="44">
        <v>0</v>
      </c>
      <c r="U345" s="44">
        <v>0</v>
      </c>
    </row>
    <row r="346" spans="1:23" ht="14.45" hidden="1" customHeight="1" x14ac:dyDescent="0.25">
      <c r="A346" s="7" t="s">
        <v>174</v>
      </c>
      <c r="B346" s="148"/>
      <c r="C346" s="148"/>
      <c r="D346" s="164"/>
      <c r="E346" s="164"/>
      <c r="F346" s="164"/>
      <c r="G346" s="194"/>
      <c r="H346" s="218"/>
      <c r="I346" s="218"/>
      <c r="J346" s="218"/>
      <c r="K346" s="218"/>
      <c r="L346" s="364"/>
      <c r="M346" s="105"/>
      <c r="N346" s="105"/>
      <c r="O346" s="9"/>
      <c r="P346" s="9"/>
      <c r="Q346" s="9"/>
      <c r="R346" s="9"/>
      <c r="S346" s="12">
        <v>0</v>
      </c>
      <c r="T346" s="44">
        <v>100</v>
      </c>
      <c r="U346" s="44">
        <v>29</v>
      </c>
    </row>
    <row r="347" spans="1:23" ht="14.45" customHeight="1" x14ac:dyDescent="0.25">
      <c r="A347" s="142" t="s">
        <v>175</v>
      </c>
      <c r="B347" s="293"/>
      <c r="C347" s="293"/>
      <c r="D347" s="270">
        <f>SUM(D332:D346)</f>
        <v>0</v>
      </c>
      <c r="E347" s="270">
        <f>SUM(E332:E346)</f>
        <v>12724</v>
      </c>
      <c r="F347" s="270">
        <f>SUM(F332:F346)</f>
        <v>0</v>
      </c>
      <c r="G347" s="270">
        <f>SUM(G332:G346)</f>
        <v>12724</v>
      </c>
      <c r="H347" s="224"/>
      <c r="I347" s="224"/>
      <c r="J347" s="224"/>
      <c r="K347" s="224">
        <f>SUM(K332:K346)</f>
        <v>11500</v>
      </c>
      <c r="L347" s="365"/>
      <c r="M347" s="270">
        <f>SUM(M332:M346)</f>
        <v>0</v>
      </c>
      <c r="N347" s="270">
        <f>SUM(N332:N346)</f>
        <v>1224</v>
      </c>
      <c r="O347" s="270">
        <f>SUM(O332:O346)</f>
        <v>0</v>
      </c>
      <c r="P347" s="270">
        <f>SUM(P332:P346)</f>
        <v>1224</v>
      </c>
      <c r="Q347" s="60">
        <f>P347/P49</f>
        <v>1.853208897825205E-4</v>
      </c>
      <c r="R347" s="48">
        <f>P347-S347</f>
        <v>-3760386</v>
      </c>
      <c r="S347" s="32">
        <f>SUM(S236:S346)</f>
        <v>3761610</v>
      </c>
      <c r="T347" s="49">
        <v>137209.95000000001</v>
      </c>
      <c r="U347" s="49">
        <v>157518.70000000001</v>
      </c>
    </row>
    <row r="348" spans="1:23" ht="15" customHeight="1" x14ac:dyDescent="0.25">
      <c r="A348" s="61"/>
      <c r="B348" s="69"/>
      <c r="C348" s="69"/>
      <c r="D348" s="178"/>
      <c r="E348" s="178"/>
      <c r="F348" s="178"/>
      <c r="G348" s="178"/>
      <c r="H348" s="215"/>
      <c r="I348" s="212"/>
      <c r="J348" s="212"/>
      <c r="K348" s="212"/>
      <c r="L348" s="328"/>
      <c r="M348" s="51"/>
      <c r="N348" s="51"/>
      <c r="O348" s="51"/>
      <c r="P348" s="61"/>
      <c r="Q348" s="61"/>
      <c r="R348" s="68"/>
      <c r="S348" s="69"/>
      <c r="T348" s="69"/>
      <c r="U348" s="69"/>
    </row>
    <row r="349" spans="1:23" ht="45" customHeight="1" x14ac:dyDescent="0.25">
      <c r="A349" s="636" t="s">
        <v>419</v>
      </c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323"/>
      <c r="M349" s="311"/>
      <c r="N349" s="52"/>
      <c r="O349" s="52"/>
      <c r="P349" s="52"/>
      <c r="Q349" s="52"/>
      <c r="R349" s="52"/>
      <c r="S349" s="52"/>
      <c r="T349" s="52"/>
      <c r="U349" s="52"/>
      <c r="W349" s="390" t="s">
        <v>458</v>
      </c>
    </row>
    <row r="350" spans="1:23" ht="18.2" customHeight="1" x14ac:dyDescent="0.25">
      <c r="A350" s="282" t="s">
        <v>208</v>
      </c>
      <c r="B350" s="562"/>
      <c r="C350" s="562"/>
      <c r="D350" s="283"/>
      <c r="E350" s="283">
        <v>16000</v>
      </c>
      <c r="F350" s="283"/>
      <c r="G350" s="283">
        <f t="shared" ref="G350:G355" si="65">+F350+E350+D350</f>
        <v>16000</v>
      </c>
      <c r="H350" s="284"/>
      <c r="I350" s="445"/>
      <c r="J350" s="445"/>
      <c r="K350" s="246">
        <f t="shared" ref="K350:K355" si="66">+G350-P350</f>
        <v>16000</v>
      </c>
      <c r="L350" s="334"/>
      <c r="M350" s="312"/>
      <c r="N350" s="257"/>
      <c r="O350" s="257"/>
      <c r="P350" s="256"/>
      <c r="Q350" s="256"/>
      <c r="R350" s="258"/>
      <c r="S350" s="259"/>
      <c r="T350" s="259"/>
      <c r="U350" s="259"/>
      <c r="W350" s="342"/>
    </row>
    <row r="351" spans="1:23" ht="18.2" customHeight="1" x14ac:dyDescent="0.25">
      <c r="A351" s="282" t="s">
        <v>182</v>
      </c>
      <c r="B351" s="562"/>
      <c r="C351" s="562"/>
      <c r="D351" s="283"/>
      <c r="E351" s="283">
        <v>14000</v>
      </c>
      <c r="F351" s="283"/>
      <c r="G351" s="283">
        <f t="shared" si="65"/>
        <v>14000</v>
      </c>
      <c r="H351" s="284"/>
      <c r="I351" s="445"/>
      <c r="J351" s="445"/>
      <c r="K351" s="246">
        <f t="shared" si="66"/>
        <v>14000</v>
      </c>
      <c r="L351" s="334"/>
      <c r="M351" s="312"/>
      <c r="N351" s="257"/>
      <c r="O351" s="257"/>
      <c r="P351" s="256"/>
      <c r="Q351" s="256"/>
      <c r="R351" s="258"/>
      <c r="S351" s="259"/>
      <c r="T351" s="259"/>
      <c r="U351" s="259"/>
      <c r="W351" s="342"/>
    </row>
    <row r="352" spans="1:23" ht="18.2" customHeight="1" x14ac:dyDescent="0.25">
      <c r="A352" s="282" t="s">
        <v>414</v>
      </c>
      <c r="B352" s="562"/>
      <c r="C352" s="562"/>
      <c r="D352" s="283"/>
      <c r="E352" s="283">
        <v>2000</v>
      </c>
      <c r="F352" s="283"/>
      <c r="G352" s="283">
        <f t="shared" si="65"/>
        <v>2000</v>
      </c>
      <c r="H352" s="284"/>
      <c r="I352" s="445"/>
      <c r="J352" s="445"/>
      <c r="K352" s="246">
        <f t="shared" si="66"/>
        <v>2000</v>
      </c>
      <c r="L352" s="334"/>
      <c r="M352" s="312"/>
      <c r="N352" s="257"/>
      <c r="O352" s="257"/>
      <c r="P352" s="256"/>
      <c r="Q352" s="256"/>
      <c r="R352" s="258"/>
      <c r="S352" s="259"/>
      <c r="T352" s="259"/>
      <c r="U352" s="259"/>
      <c r="W352" s="342"/>
    </row>
    <row r="353" spans="1:23" ht="18.2" customHeight="1" x14ac:dyDescent="0.25">
      <c r="A353" s="282" t="s">
        <v>415</v>
      </c>
      <c r="B353" s="562"/>
      <c r="C353" s="562"/>
      <c r="D353" s="283"/>
      <c r="E353" s="283">
        <v>16000</v>
      </c>
      <c r="F353" s="283"/>
      <c r="G353" s="283">
        <f t="shared" si="65"/>
        <v>16000</v>
      </c>
      <c r="H353" s="284"/>
      <c r="I353" s="445"/>
      <c r="J353" s="445"/>
      <c r="K353" s="246">
        <f t="shared" si="66"/>
        <v>16000</v>
      </c>
      <c r="L353" s="334"/>
      <c r="M353" s="312"/>
      <c r="N353" s="257"/>
      <c r="O353" s="257"/>
      <c r="P353" s="256"/>
      <c r="Q353" s="256"/>
      <c r="R353" s="258"/>
      <c r="S353" s="259"/>
      <c r="T353" s="259"/>
      <c r="U353" s="259"/>
      <c r="W353" s="342"/>
    </row>
    <row r="354" spans="1:23" ht="18.2" customHeight="1" x14ac:dyDescent="0.25">
      <c r="A354" s="282" t="s">
        <v>416</v>
      </c>
      <c r="B354" s="562"/>
      <c r="C354" s="562"/>
      <c r="D354" s="283"/>
      <c r="E354" s="283">
        <v>8000</v>
      </c>
      <c r="F354" s="283"/>
      <c r="G354" s="283">
        <f t="shared" si="65"/>
        <v>8000</v>
      </c>
      <c r="H354" s="284"/>
      <c r="I354" s="445"/>
      <c r="J354" s="445"/>
      <c r="K354" s="246">
        <f t="shared" si="66"/>
        <v>8000</v>
      </c>
      <c r="L354" s="334"/>
      <c r="M354" s="312"/>
      <c r="N354" s="257"/>
      <c r="O354" s="257"/>
      <c r="P354" s="256"/>
      <c r="Q354" s="256"/>
      <c r="R354" s="258"/>
      <c r="S354" s="259"/>
      <c r="T354" s="259"/>
      <c r="U354" s="259"/>
      <c r="W354" s="342"/>
    </row>
    <row r="355" spans="1:23" ht="18.2" customHeight="1" x14ac:dyDescent="0.25">
      <c r="A355" s="282" t="s">
        <v>417</v>
      </c>
      <c r="B355" s="562"/>
      <c r="C355" s="562"/>
      <c r="D355" s="283"/>
      <c r="E355" s="283">
        <v>4000</v>
      </c>
      <c r="F355" s="283"/>
      <c r="G355" s="283">
        <f t="shared" si="65"/>
        <v>4000</v>
      </c>
      <c r="H355" s="284"/>
      <c r="I355" s="445"/>
      <c r="J355" s="445"/>
      <c r="K355" s="246">
        <f t="shared" si="66"/>
        <v>4000</v>
      </c>
      <c r="L355" s="334"/>
      <c r="M355" s="312"/>
      <c r="N355" s="257"/>
      <c r="O355" s="257"/>
      <c r="P355" s="256"/>
      <c r="Q355" s="256"/>
      <c r="R355" s="258"/>
      <c r="S355" s="259"/>
      <c r="T355" s="259"/>
      <c r="U355" s="259"/>
      <c r="W355" s="342"/>
    </row>
    <row r="356" spans="1:23" ht="18.2" customHeight="1" x14ac:dyDescent="0.25">
      <c r="A356" s="282" t="s">
        <v>418</v>
      </c>
      <c r="B356" s="562"/>
      <c r="C356" s="562"/>
      <c r="D356" s="283">
        <f>SUM(D350:D355)</f>
        <v>0</v>
      </c>
      <c r="E356" s="283">
        <f>SUM(E350:E355)</f>
        <v>60000</v>
      </c>
      <c r="F356" s="283">
        <f>SUM(F350:F355)</f>
        <v>0</v>
      </c>
      <c r="G356" s="283">
        <f>SUM(G350:G355)</f>
        <v>60000</v>
      </c>
      <c r="H356" s="284"/>
      <c r="I356" s="445"/>
      <c r="J356" s="445"/>
      <c r="K356" s="571">
        <f>SUM(K350:K355)</f>
        <v>60000</v>
      </c>
      <c r="L356" s="334"/>
      <c r="M356" s="312"/>
      <c r="N356" s="257"/>
      <c r="O356" s="257"/>
      <c r="P356" s="256"/>
      <c r="Q356" s="256"/>
      <c r="R356" s="258"/>
      <c r="S356" s="259"/>
      <c r="T356" s="259"/>
      <c r="U356" s="259"/>
      <c r="W356" s="342"/>
    </row>
    <row r="357" spans="1:23" ht="15" customHeight="1" x14ac:dyDescent="0.25">
      <c r="A357" s="61"/>
      <c r="B357" s="69"/>
      <c r="C357" s="69"/>
      <c r="D357" s="178"/>
      <c r="E357" s="178"/>
      <c r="F357" s="178"/>
      <c r="G357" s="178"/>
      <c r="H357" s="212"/>
      <c r="I357" s="212"/>
      <c r="J357" s="212"/>
      <c r="K357" s="212"/>
      <c r="L357" s="328"/>
      <c r="M357" s="51"/>
      <c r="N357" s="51"/>
      <c r="O357" s="51"/>
      <c r="P357" s="61"/>
      <c r="Q357" s="61"/>
      <c r="R357" s="68"/>
      <c r="S357" s="69"/>
      <c r="T357" s="69"/>
      <c r="U357" s="69"/>
    </row>
    <row r="358" spans="1:23" ht="30.75" customHeight="1" x14ac:dyDescent="0.25">
      <c r="A358" s="52" t="s">
        <v>176</v>
      </c>
      <c r="B358" s="146"/>
      <c r="C358" s="146"/>
      <c r="D358" s="52"/>
      <c r="E358" s="52"/>
      <c r="F358" s="52"/>
      <c r="G358" s="52"/>
      <c r="H358" s="52"/>
      <c r="I358" s="52"/>
      <c r="J358" s="52"/>
      <c r="K358" s="374"/>
      <c r="L358" s="372"/>
      <c r="M358" s="305"/>
      <c r="N358" s="52"/>
      <c r="O358" s="52"/>
      <c r="P358" s="52"/>
      <c r="Q358" s="52"/>
      <c r="R358" s="52"/>
      <c r="S358" s="52"/>
      <c r="T358" s="52"/>
      <c r="U358" s="52"/>
      <c r="W358" s="390" t="s">
        <v>457</v>
      </c>
    </row>
    <row r="359" spans="1:23" ht="14.45" hidden="1" customHeight="1" x14ac:dyDescent="0.25"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Q359" s="9"/>
      <c r="R359" s="9"/>
      <c r="S359" s="12"/>
      <c r="T359" s="44"/>
      <c r="U359" s="44"/>
      <c r="V359" s="92">
        <v>51500</v>
      </c>
      <c r="W359" s="341"/>
    </row>
    <row r="360" spans="1:23" ht="14.45" hidden="1" customHeight="1" x14ac:dyDescent="0.25"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Q360" s="9"/>
      <c r="R360" s="9"/>
      <c r="S360" s="12"/>
      <c r="T360" s="44">
        <v>50000</v>
      </c>
      <c r="U360" s="44">
        <v>67697.98</v>
      </c>
      <c r="V360" s="9"/>
      <c r="W360" s="341">
        <v>7000</v>
      </c>
    </row>
    <row r="361" spans="1:23" ht="14.45" hidden="1" customHeight="1" x14ac:dyDescent="0.25"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Q361" s="9"/>
      <c r="R361" s="9"/>
      <c r="S361" s="12"/>
      <c r="T361" s="44">
        <v>25000</v>
      </c>
      <c r="U361" s="44">
        <v>12997.59</v>
      </c>
      <c r="V361" s="92">
        <v>70000</v>
      </c>
      <c r="W361" s="341">
        <v>124369</v>
      </c>
    </row>
    <row r="362" spans="1:23" ht="14.45" hidden="1" customHeight="1" x14ac:dyDescent="0.25"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Q362" s="9"/>
      <c r="R362" s="9"/>
      <c r="S362" s="12"/>
      <c r="T362" s="44">
        <v>0</v>
      </c>
      <c r="U362" s="44">
        <v>0</v>
      </c>
      <c r="V362" s="9"/>
      <c r="W362" s="341">
        <v>43431</v>
      </c>
    </row>
    <row r="363" spans="1:23" ht="14.45" hidden="1" customHeight="1" x14ac:dyDescent="0.25"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Q363" s="9"/>
      <c r="R363" s="9"/>
      <c r="S363" s="12"/>
      <c r="T363" s="44"/>
      <c r="U363" s="44"/>
      <c r="V363" s="92">
        <v>4120</v>
      </c>
      <c r="W363" s="341"/>
    </row>
    <row r="364" spans="1:23" ht="14.45" hidden="1" customHeight="1" x14ac:dyDescent="0.25"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Q364" s="9"/>
      <c r="R364" s="9"/>
      <c r="S364" s="12"/>
      <c r="T364" s="44"/>
      <c r="U364" s="44"/>
      <c r="V364" s="125">
        <v>155</v>
      </c>
      <c r="W364" s="341"/>
    </row>
    <row r="365" spans="1:23" ht="14.45" hidden="1" customHeight="1" x14ac:dyDescent="0.25"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Q365" s="9"/>
      <c r="R365" s="9"/>
      <c r="S365" s="12"/>
      <c r="T365" s="44"/>
      <c r="U365" s="44"/>
      <c r="V365" s="125">
        <v>4635</v>
      </c>
      <c r="W365" s="341"/>
    </row>
    <row r="366" spans="1:23" ht="14.45" hidden="1" customHeight="1" x14ac:dyDescent="0.25"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Q366" s="9"/>
      <c r="R366" s="9"/>
      <c r="S366" s="12"/>
      <c r="T366" s="44"/>
      <c r="U366" s="58"/>
      <c r="V366" s="125">
        <v>500</v>
      </c>
      <c r="W366" s="341"/>
    </row>
    <row r="367" spans="1:23" ht="14.45" hidden="1" customHeight="1" x14ac:dyDescent="0.25"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Q367" s="9"/>
      <c r="R367" s="9"/>
      <c r="S367" s="12"/>
      <c r="T367" s="44"/>
      <c r="U367" s="58"/>
      <c r="V367" s="125">
        <v>1000</v>
      </c>
      <c r="W367" s="341"/>
    </row>
    <row r="368" spans="1:23" ht="14.45" hidden="1" customHeight="1" x14ac:dyDescent="0.25"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Q368" s="9"/>
      <c r="R368" s="9"/>
      <c r="S368" s="12"/>
      <c r="T368" s="44"/>
      <c r="U368" s="58"/>
      <c r="V368" s="125">
        <v>1800</v>
      </c>
      <c r="W368" s="341"/>
    </row>
    <row r="369" spans="1:23" ht="14.45" hidden="1" customHeight="1" x14ac:dyDescent="0.25"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Q369" s="9"/>
      <c r="R369" s="9"/>
      <c r="S369" s="12"/>
      <c r="T369" s="44"/>
      <c r="U369" s="58"/>
      <c r="V369" s="125">
        <v>600</v>
      </c>
      <c r="W369" s="341"/>
    </row>
    <row r="370" spans="1:23" ht="14.45" hidden="1" customHeight="1" x14ac:dyDescent="0.25"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Q370" s="9"/>
      <c r="R370" s="9"/>
      <c r="S370" s="12"/>
      <c r="T370" s="44">
        <v>500</v>
      </c>
      <c r="U370" s="44">
        <v>344.14</v>
      </c>
      <c r="V370" s="92">
        <v>1500</v>
      </c>
      <c r="W370" s="341">
        <v>1500</v>
      </c>
    </row>
    <row r="371" spans="1:23" ht="14.45" hidden="1" customHeight="1" x14ac:dyDescent="0.25"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Q371" s="9"/>
      <c r="R371" s="9"/>
      <c r="S371" s="12">
        <v>176300</v>
      </c>
      <c r="T371" s="44"/>
      <c r="U371" s="44"/>
    </row>
    <row r="372" spans="1:23" ht="14.45" customHeight="1" x14ac:dyDescent="0.25">
      <c r="A372" s="148" t="s">
        <v>184</v>
      </c>
      <c r="B372" s="148"/>
      <c r="C372" s="148"/>
      <c r="D372" s="254"/>
      <c r="E372" s="254"/>
      <c r="F372" s="164"/>
      <c r="G372" s="196">
        <f t="shared" ref="G372:G376" si="67">+F372+E372+D372</f>
        <v>0</v>
      </c>
      <c r="H372" s="296"/>
      <c r="I372" s="296"/>
      <c r="J372" s="296"/>
      <c r="K372" s="164">
        <f t="shared" ref="K372:K378" si="68">+G372-P372</f>
        <v>0</v>
      </c>
      <c r="L372" s="364"/>
      <c r="M372" s="105"/>
      <c r="N372" s="105"/>
      <c r="O372" s="9"/>
      <c r="P372" s="9">
        <f t="shared" ref="P372:P378" si="69">M372+N372+O372</f>
        <v>0</v>
      </c>
      <c r="Q372" s="9"/>
      <c r="R372" s="9"/>
      <c r="S372" s="12">
        <v>5000</v>
      </c>
      <c r="T372" s="44">
        <v>950</v>
      </c>
      <c r="U372" s="44">
        <v>0</v>
      </c>
    </row>
    <row r="373" spans="1:23" ht="14.45" customHeight="1" x14ac:dyDescent="0.25">
      <c r="A373" s="148" t="s">
        <v>185</v>
      </c>
      <c r="B373" s="148"/>
      <c r="C373" s="148"/>
      <c r="D373" s="254"/>
      <c r="E373" s="254"/>
      <c r="F373" s="164"/>
      <c r="G373" s="196">
        <f t="shared" si="67"/>
        <v>0</v>
      </c>
      <c r="H373" s="296"/>
      <c r="I373" s="296"/>
      <c r="J373" s="296"/>
      <c r="K373" s="164">
        <f t="shared" si="68"/>
        <v>0</v>
      </c>
      <c r="L373" s="364"/>
      <c r="M373" s="105"/>
      <c r="N373" s="204"/>
      <c r="O373" s="9"/>
      <c r="P373" s="9">
        <f t="shared" si="69"/>
        <v>0</v>
      </c>
      <c r="Q373" s="9"/>
      <c r="R373" s="9"/>
      <c r="S373" s="12">
        <v>10000</v>
      </c>
      <c r="T373" s="44">
        <v>12000</v>
      </c>
      <c r="U373" s="44">
        <v>0</v>
      </c>
    </row>
    <row r="374" spans="1:23" ht="14.45" customHeight="1" x14ac:dyDescent="0.25">
      <c r="A374" s="148" t="s">
        <v>186</v>
      </c>
      <c r="B374" s="148"/>
      <c r="C374" s="148"/>
      <c r="D374" s="254"/>
      <c r="E374" s="254">
        <v>40000</v>
      </c>
      <c r="F374" s="164"/>
      <c r="G374" s="196">
        <f t="shared" si="67"/>
        <v>40000</v>
      </c>
      <c r="H374" s="296"/>
      <c r="I374" s="296"/>
      <c r="J374" s="296"/>
      <c r="K374" s="164">
        <f t="shared" si="68"/>
        <v>40000</v>
      </c>
      <c r="L374" s="364"/>
      <c r="M374" s="105"/>
      <c r="N374" s="105"/>
      <c r="O374" s="9"/>
      <c r="P374" s="9">
        <f t="shared" si="69"/>
        <v>0</v>
      </c>
      <c r="Q374" s="9"/>
      <c r="R374" s="9"/>
      <c r="S374" s="12">
        <v>6000</v>
      </c>
      <c r="T374" s="44">
        <v>5000</v>
      </c>
      <c r="U374" s="44">
        <v>0</v>
      </c>
    </row>
    <row r="375" spans="1:23" ht="14.45" customHeight="1" x14ac:dyDescent="0.25">
      <c r="A375" s="148" t="s">
        <v>187</v>
      </c>
      <c r="B375" s="148"/>
      <c r="C375" s="148"/>
      <c r="D375" s="254"/>
      <c r="E375" s="254"/>
      <c r="F375" s="164"/>
      <c r="G375" s="196">
        <f t="shared" si="67"/>
        <v>0</v>
      </c>
      <c r="H375" s="296"/>
      <c r="I375" s="296"/>
      <c r="J375" s="296"/>
      <c r="K375" s="164">
        <f t="shared" si="68"/>
        <v>0</v>
      </c>
      <c r="L375" s="364"/>
      <c r="M375" s="105"/>
      <c r="N375" s="105"/>
      <c r="O375" s="9"/>
      <c r="P375" s="9">
        <f t="shared" si="69"/>
        <v>0</v>
      </c>
      <c r="Q375" s="9"/>
      <c r="R375" s="9"/>
      <c r="S375" s="12">
        <v>2000</v>
      </c>
      <c r="T375" s="44">
        <v>0</v>
      </c>
      <c r="U375" s="44">
        <v>617.20000000000005</v>
      </c>
    </row>
    <row r="376" spans="1:23" ht="14.45" customHeight="1" x14ac:dyDescent="0.25">
      <c r="A376" s="148" t="s">
        <v>188</v>
      </c>
      <c r="B376" s="148"/>
      <c r="C376" s="148"/>
      <c r="D376" s="254"/>
      <c r="E376" s="254"/>
      <c r="F376" s="164"/>
      <c r="G376" s="196">
        <f t="shared" si="67"/>
        <v>0</v>
      </c>
      <c r="H376" s="296"/>
      <c r="I376" s="296"/>
      <c r="J376" s="296"/>
      <c r="K376" s="164">
        <f t="shared" si="68"/>
        <v>0</v>
      </c>
      <c r="L376" s="364"/>
      <c r="M376" s="105"/>
      <c r="N376" s="105"/>
      <c r="O376" s="9"/>
      <c r="P376" s="9">
        <f t="shared" si="69"/>
        <v>0</v>
      </c>
      <c r="Q376" s="9"/>
      <c r="R376" s="9"/>
      <c r="S376" s="12">
        <v>2000</v>
      </c>
      <c r="T376" s="44">
        <v>0</v>
      </c>
      <c r="U376" s="44">
        <v>0</v>
      </c>
    </row>
    <row r="377" spans="1:23" ht="14.45" customHeight="1" x14ac:dyDescent="0.25">
      <c r="A377" s="148" t="s">
        <v>189</v>
      </c>
      <c r="B377" s="148"/>
      <c r="C377" s="148"/>
      <c r="D377" s="254"/>
      <c r="E377" s="254"/>
      <c r="F377" s="164"/>
      <c r="G377" s="194"/>
      <c r="H377" s="296"/>
      <c r="I377" s="296"/>
      <c r="J377" s="296"/>
      <c r="K377" s="164">
        <f t="shared" si="68"/>
        <v>0</v>
      </c>
      <c r="L377" s="364"/>
      <c r="M377" s="105"/>
      <c r="N377" s="105"/>
      <c r="O377" s="9"/>
      <c r="P377" s="9">
        <f t="shared" si="69"/>
        <v>0</v>
      </c>
      <c r="Q377" s="9"/>
      <c r="R377" s="9"/>
      <c r="S377" s="12">
        <v>0</v>
      </c>
      <c r="T377" s="44">
        <v>24000</v>
      </c>
      <c r="U377" s="44">
        <v>32808.639999999999</v>
      </c>
    </row>
    <row r="378" spans="1:23" ht="14.45" customHeight="1" x14ac:dyDescent="0.25">
      <c r="A378" s="148" t="s">
        <v>190</v>
      </c>
      <c r="B378" s="148"/>
      <c r="C378" s="148"/>
      <c r="D378" s="254"/>
      <c r="E378" s="254">
        <v>8000</v>
      </c>
      <c r="F378" s="164"/>
      <c r="G378" s="196">
        <f>+F378+E378+D378</f>
        <v>8000</v>
      </c>
      <c r="H378" s="296"/>
      <c r="I378" s="296"/>
      <c r="J378" s="296"/>
      <c r="K378" s="164">
        <f t="shared" si="68"/>
        <v>8000</v>
      </c>
      <c r="L378" s="364"/>
      <c r="M378" s="105"/>
      <c r="N378" s="105"/>
      <c r="O378" s="9"/>
      <c r="P378" s="9">
        <f t="shared" si="69"/>
        <v>0</v>
      </c>
      <c r="Q378" s="9"/>
      <c r="R378" s="9"/>
      <c r="S378" s="12">
        <v>3000</v>
      </c>
      <c r="T378" s="44">
        <v>1000</v>
      </c>
      <c r="U378" s="44">
        <v>315.55</v>
      </c>
    </row>
    <row r="379" spans="1:23" ht="14.45" customHeight="1" x14ac:dyDescent="0.25">
      <c r="A379" s="293" t="s">
        <v>191</v>
      </c>
      <c r="B379" s="293"/>
      <c r="C379" s="293"/>
      <c r="D379" s="294">
        <f>SUM(D372:D378)</f>
        <v>0</v>
      </c>
      <c r="E379" s="294">
        <f>SUM(E372:E378)</f>
        <v>48000</v>
      </c>
      <c r="F379" s="294">
        <f>SUM(F372:F378)</f>
        <v>0</v>
      </c>
      <c r="G379" s="294">
        <f>SUM(G372:G378)</f>
        <v>48000</v>
      </c>
      <c r="H379" s="371"/>
      <c r="I379" s="371"/>
      <c r="J379" s="371"/>
      <c r="K379" s="224">
        <f>SUM(K372:K378)</f>
        <v>48000</v>
      </c>
      <c r="L379" s="365"/>
      <c r="M379" s="294">
        <f>SUM(M372:M378)</f>
        <v>0</v>
      </c>
      <c r="N379" s="294">
        <f>SUM(N372:N378)</f>
        <v>0</v>
      </c>
      <c r="O379" s="294">
        <f>SUM(O372:O378)</f>
        <v>0</v>
      </c>
      <c r="P379" s="294">
        <f>SUM(P372:P378)</f>
        <v>0</v>
      </c>
      <c r="Q379" s="60">
        <f>P379/P49</f>
        <v>0</v>
      </c>
      <c r="R379" s="48">
        <f>P379-S379</f>
        <v>-204300</v>
      </c>
      <c r="S379" s="32">
        <v>204300</v>
      </c>
      <c r="T379" s="49">
        <v>118450</v>
      </c>
      <c r="U379" s="49">
        <v>114781.1</v>
      </c>
    </row>
    <row r="380" spans="1:23" ht="15" customHeight="1" x14ac:dyDescent="0.25">
      <c r="A380" s="61"/>
      <c r="B380" s="69"/>
      <c r="C380" s="69"/>
      <c r="D380" s="178"/>
      <c r="E380" s="178"/>
      <c r="F380" s="178"/>
      <c r="G380" s="178"/>
      <c r="H380" s="215"/>
      <c r="I380" s="212"/>
      <c r="J380" s="212"/>
      <c r="K380" s="212"/>
      <c r="L380" s="328"/>
      <c r="M380" s="51"/>
      <c r="N380" s="51"/>
      <c r="O380" s="51"/>
      <c r="P380" s="61"/>
      <c r="Q380" s="61"/>
      <c r="R380" s="68"/>
      <c r="S380" s="69"/>
      <c r="T380" s="69"/>
      <c r="U380" s="69"/>
    </row>
    <row r="381" spans="1:23" ht="28.5" customHeight="1" x14ac:dyDescent="0.25">
      <c r="A381" s="52" t="s">
        <v>192</v>
      </c>
      <c r="B381" s="146"/>
      <c r="C381" s="146"/>
      <c r="D381" s="52"/>
      <c r="E381" s="52"/>
      <c r="F381" s="52"/>
      <c r="G381" s="52"/>
      <c r="H381" s="52"/>
      <c r="I381" s="52"/>
      <c r="J381" s="52"/>
      <c r="K381" s="52"/>
      <c r="L381" s="323"/>
      <c r="M381" s="305"/>
      <c r="N381" s="52"/>
      <c r="O381" s="52"/>
      <c r="P381" s="52"/>
      <c r="Q381" s="52"/>
      <c r="R381" s="52"/>
      <c r="S381" s="52"/>
      <c r="T381" s="52"/>
      <c r="U381" s="52"/>
      <c r="W381" s="390" t="s">
        <v>458</v>
      </c>
    </row>
    <row r="382" spans="1:23" ht="14.45" hidden="1" customHeight="1" x14ac:dyDescent="0.25">
      <c r="Q382" s="9"/>
      <c r="R382" s="9"/>
      <c r="S382" s="12">
        <v>11642</v>
      </c>
      <c r="T382" s="44">
        <v>11303.25</v>
      </c>
      <c r="U382" s="44">
        <v>11303.24</v>
      </c>
      <c r="W382" s="343" t="s">
        <v>456</v>
      </c>
    </row>
    <row r="383" spans="1:23" ht="14.45" hidden="1" customHeight="1" x14ac:dyDescent="0.25">
      <c r="Q383" s="9"/>
      <c r="R383" s="9"/>
      <c r="S383" s="12">
        <v>2096</v>
      </c>
      <c r="T383" s="44">
        <v>2035</v>
      </c>
      <c r="U383" s="44">
        <v>2034.6</v>
      </c>
    </row>
    <row r="384" spans="1:23" ht="14.45" hidden="1" customHeight="1" x14ac:dyDescent="0.25">
      <c r="Q384" s="9"/>
      <c r="R384" s="9"/>
      <c r="S384" s="12">
        <v>45</v>
      </c>
      <c r="T384" s="44">
        <v>45</v>
      </c>
      <c r="U384" s="44">
        <v>14.42</v>
      </c>
    </row>
    <row r="385" spans="1:23" ht="14.45" hidden="1" customHeight="1" x14ac:dyDescent="0.25">
      <c r="Q385" s="9"/>
      <c r="R385" s="9"/>
      <c r="S385" s="12">
        <v>0</v>
      </c>
      <c r="T385" s="44">
        <v>0</v>
      </c>
      <c r="U385" s="44">
        <v>0</v>
      </c>
    </row>
    <row r="386" spans="1:23" ht="14.45" hidden="1" customHeight="1" x14ac:dyDescent="0.25">
      <c r="Q386" s="9"/>
      <c r="R386" s="9"/>
      <c r="S386" s="12">
        <v>1000</v>
      </c>
      <c r="T386" s="44">
        <v>3000</v>
      </c>
      <c r="U386" s="44">
        <v>0</v>
      </c>
    </row>
    <row r="387" spans="1:23" ht="14.45" hidden="1" customHeight="1" x14ac:dyDescent="0.25">
      <c r="Q387" s="9"/>
      <c r="R387" s="9"/>
      <c r="S387" s="12"/>
      <c r="T387" s="44"/>
      <c r="U387" s="44"/>
    </row>
    <row r="388" spans="1:23" ht="14.45" hidden="1" customHeight="1" x14ac:dyDescent="0.25">
      <c r="Q388" s="9"/>
      <c r="R388" s="9"/>
      <c r="S388" s="12"/>
      <c r="T388" s="44"/>
      <c r="U388" s="44"/>
    </row>
    <row r="389" spans="1:23" ht="14.45" hidden="1" customHeight="1" x14ac:dyDescent="0.25">
      <c r="Q389" s="9"/>
      <c r="R389" s="9"/>
      <c r="S389" s="12"/>
      <c r="T389" s="44"/>
      <c r="U389" s="44"/>
    </row>
    <row r="390" spans="1:23" ht="17.25" customHeight="1" x14ac:dyDescent="0.25">
      <c r="A390" s="148" t="s">
        <v>429</v>
      </c>
      <c r="B390" s="148"/>
      <c r="C390" s="148"/>
      <c r="D390" s="164"/>
      <c r="E390" s="164">
        <f>2800+50000</f>
        <v>52800</v>
      </c>
      <c r="F390" s="164"/>
      <c r="G390" s="194">
        <f>+F390+E390+D390</f>
        <v>52800</v>
      </c>
      <c r="H390" s="218"/>
      <c r="I390" s="296"/>
      <c r="J390" s="296"/>
      <c r="K390" s="164">
        <f t="shared" ref="K390:K396" si="70">+G390-P390</f>
        <v>-7200</v>
      </c>
      <c r="L390" s="364"/>
      <c r="M390" s="105"/>
      <c r="N390" s="204">
        <v>60000</v>
      </c>
      <c r="O390" s="9"/>
      <c r="P390" s="67">
        <f t="shared" ref="P390:P396" si="71">M390+N390+O390</f>
        <v>60000</v>
      </c>
      <c r="Q390" s="9"/>
      <c r="R390" s="9"/>
      <c r="S390" s="12">
        <v>70000</v>
      </c>
      <c r="T390" s="44">
        <v>70000</v>
      </c>
      <c r="U390" s="44">
        <v>70000</v>
      </c>
      <c r="W390" s="343" t="s">
        <v>443</v>
      </c>
    </row>
    <row r="391" spans="1:23" ht="14.45" customHeight="1" x14ac:dyDescent="0.25">
      <c r="A391" s="7" t="s">
        <v>430</v>
      </c>
      <c r="B391" s="148"/>
      <c r="C391" s="148"/>
      <c r="D391" s="164"/>
      <c r="E391" s="164">
        <v>50000</v>
      </c>
      <c r="F391" s="164"/>
      <c r="G391" s="194">
        <f t="shared" ref="G391:G396" si="72">+F391+E391+D391</f>
        <v>50000</v>
      </c>
      <c r="H391" s="218"/>
      <c r="I391" s="296"/>
      <c r="J391" s="296"/>
      <c r="K391" s="164">
        <f t="shared" si="70"/>
        <v>50000</v>
      </c>
      <c r="L391" s="364"/>
      <c r="M391" s="105"/>
      <c r="N391" s="204"/>
      <c r="O391" s="9"/>
      <c r="P391" s="67"/>
      <c r="Q391" s="9"/>
      <c r="R391" s="9"/>
      <c r="S391" s="12"/>
      <c r="T391" s="44"/>
      <c r="U391" s="44"/>
    </row>
    <row r="392" spans="1:23" ht="14.45" customHeight="1" x14ac:dyDescent="0.25">
      <c r="A392" s="7" t="s">
        <v>594</v>
      </c>
      <c r="B392" s="148"/>
      <c r="C392" s="148"/>
      <c r="D392" s="164"/>
      <c r="E392" s="164">
        <v>25000</v>
      </c>
      <c r="F392" s="164"/>
      <c r="G392" s="194">
        <f t="shared" si="72"/>
        <v>25000</v>
      </c>
      <c r="H392" s="218"/>
      <c r="I392" s="296"/>
      <c r="J392" s="296"/>
      <c r="K392" s="164">
        <f t="shared" si="70"/>
        <v>25000</v>
      </c>
      <c r="L392" s="364"/>
      <c r="M392" s="105"/>
      <c r="N392" s="204"/>
      <c r="O392" s="9"/>
      <c r="P392" s="67"/>
      <c r="Q392" s="9"/>
      <c r="R392" s="9"/>
      <c r="S392" s="12"/>
      <c r="T392" s="44"/>
      <c r="U392" s="44"/>
    </row>
    <row r="393" spans="1:23" ht="14.45" customHeight="1" x14ac:dyDescent="0.25">
      <c r="A393" s="7" t="s">
        <v>431</v>
      </c>
      <c r="B393" s="148"/>
      <c r="C393" s="148"/>
      <c r="D393" s="164"/>
      <c r="E393" s="164">
        <v>20000</v>
      </c>
      <c r="F393" s="164"/>
      <c r="G393" s="194">
        <f t="shared" si="72"/>
        <v>20000</v>
      </c>
      <c r="H393" s="218"/>
      <c r="I393" s="296"/>
      <c r="J393" s="296"/>
      <c r="K393" s="164">
        <f t="shared" si="70"/>
        <v>20000</v>
      </c>
      <c r="L393" s="364"/>
      <c r="M393" s="105"/>
      <c r="N393" s="204"/>
      <c r="O393" s="9"/>
      <c r="P393" s="67"/>
      <c r="Q393" s="9"/>
      <c r="R393" s="9"/>
      <c r="S393" s="12"/>
      <c r="T393" s="44"/>
      <c r="U393" s="44"/>
    </row>
    <row r="394" spans="1:23" ht="14.45" customHeight="1" x14ac:dyDescent="0.25">
      <c r="A394" s="7" t="s">
        <v>194</v>
      </c>
      <c r="B394" s="148"/>
      <c r="C394" s="148"/>
      <c r="D394" s="164"/>
      <c r="E394" s="164">
        <v>1000</v>
      </c>
      <c r="F394" s="164"/>
      <c r="G394" s="194">
        <f t="shared" si="72"/>
        <v>1000</v>
      </c>
      <c r="H394" s="218"/>
      <c r="I394" s="296"/>
      <c r="J394" s="296"/>
      <c r="K394" s="164">
        <f t="shared" si="70"/>
        <v>1000</v>
      </c>
      <c r="L394" s="364"/>
      <c r="M394" s="105"/>
      <c r="N394" s="105"/>
      <c r="O394" s="9"/>
      <c r="P394" s="9">
        <f t="shared" si="71"/>
        <v>0</v>
      </c>
      <c r="Q394" s="9"/>
      <c r="R394" s="9"/>
      <c r="S394" s="12">
        <v>2500</v>
      </c>
      <c r="T394" s="44">
        <v>0</v>
      </c>
      <c r="U394" s="44">
        <v>0</v>
      </c>
    </row>
    <row r="395" spans="1:23" ht="14.45" customHeight="1" x14ac:dyDescent="0.25">
      <c r="A395" s="7" t="s">
        <v>432</v>
      </c>
      <c r="B395" s="148"/>
      <c r="C395" s="148"/>
      <c r="D395" s="164"/>
      <c r="E395" s="164">
        <v>2000</v>
      </c>
      <c r="F395" s="164"/>
      <c r="G395" s="194">
        <f t="shared" si="72"/>
        <v>2000</v>
      </c>
      <c r="H395" s="218"/>
      <c r="I395" s="296"/>
      <c r="J395" s="296"/>
      <c r="K395" s="164">
        <f t="shared" si="70"/>
        <v>2000</v>
      </c>
      <c r="L395" s="364"/>
      <c r="M395" s="105"/>
      <c r="N395" s="105"/>
      <c r="O395" s="9"/>
      <c r="P395" s="9"/>
      <c r="Q395" s="9"/>
      <c r="R395" s="9"/>
      <c r="S395" s="12"/>
      <c r="T395" s="44"/>
      <c r="U395" s="44"/>
    </row>
    <row r="396" spans="1:23" ht="14.45" customHeight="1" x14ac:dyDescent="0.25">
      <c r="A396" s="7" t="s">
        <v>433</v>
      </c>
      <c r="B396" s="148"/>
      <c r="C396" s="148"/>
      <c r="D396" s="164"/>
      <c r="E396" s="164">
        <f>540+3600</f>
        <v>4140</v>
      </c>
      <c r="F396" s="164"/>
      <c r="G396" s="194">
        <f t="shared" si="72"/>
        <v>4140</v>
      </c>
      <c r="H396" s="218"/>
      <c r="I396" s="296"/>
      <c r="J396" s="296"/>
      <c r="K396" s="164">
        <f t="shared" si="70"/>
        <v>4140</v>
      </c>
      <c r="L396" s="364"/>
      <c r="M396" s="105"/>
      <c r="N396" s="105"/>
      <c r="O396" s="9"/>
      <c r="P396" s="9">
        <f t="shared" si="71"/>
        <v>0</v>
      </c>
      <c r="Q396" s="9"/>
      <c r="R396" s="9"/>
      <c r="S396" s="12">
        <v>0</v>
      </c>
      <c r="T396" s="44">
        <v>3000</v>
      </c>
      <c r="U396" s="44">
        <v>2671.31</v>
      </c>
    </row>
    <row r="397" spans="1:23" ht="14.45" customHeight="1" x14ac:dyDescent="0.25">
      <c r="A397" s="142" t="s">
        <v>195</v>
      </c>
      <c r="B397" s="293"/>
      <c r="C397" s="293"/>
      <c r="D397" s="176">
        <f>SUM(D390:D396)</f>
        <v>0</v>
      </c>
      <c r="E397" s="176">
        <f>SUM(E390:E396)</f>
        <v>154940</v>
      </c>
      <c r="F397" s="176">
        <f>SUM(F390:F396)</f>
        <v>0</v>
      </c>
      <c r="G397" s="176">
        <f>SUM(G390:G396)</f>
        <v>154940</v>
      </c>
      <c r="H397" s="224"/>
      <c r="I397" s="224"/>
      <c r="J397" s="224"/>
      <c r="K397" s="176">
        <f>SUM(K390:K396)</f>
        <v>94940</v>
      </c>
      <c r="L397" s="365"/>
      <c r="M397" s="176">
        <f>SUM(M390:M396)</f>
        <v>0</v>
      </c>
      <c r="N397" s="176">
        <f>SUM(N390:N396)</f>
        <v>60000</v>
      </c>
      <c r="O397" s="176">
        <f>SUM(O390:O396)</f>
        <v>0</v>
      </c>
      <c r="P397" s="176">
        <f>SUM(P390:P396)</f>
        <v>60000</v>
      </c>
      <c r="Q397" s="60">
        <f>P397/P49</f>
        <v>9.0843573422804153E-3</v>
      </c>
      <c r="R397" s="48">
        <f>P397-S397</f>
        <v>-27283</v>
      </c>
      <c r="S397" s="32">
        <v>87283</v>
      </c>
      <c r="T397" s="49">
        <v>89383.25</v>
      </c>
      <c r="U397" s="49">
        <v>86023.57</v>
      </c>
    </row>
    <row r="398" spans="1:23" ht="15" customHeight="1" x14ac:dyDescent="0.25">
      <c r="A398" s="61"/>
      <c r="B398" s="69"/>
      <c r="C398" s="69"/>
      <c r="D398" s="178"/>
      <c r="E398" s="178"/>
      <c r="F398" s="178"/>
      <c r="G398" s="178"/>
      <c r="H398" s="215"/>
      <c r="I398" s="212"/>
      <c r="J398" s="212"/>
      <c r="K398" s="212"/>
      <c r="L398" s="328"/>
      <c r="M398" s="51"/>
      <c r="N398" s="51"/>
      <c r="O398" s="51"/>
      <c r="P398" s="61"/>
      <c r="Q398" s="61"/>
      <c r="R398" s="68"/>
      <c r="S398" s="69"/>
      <c r="T398" s="69"/>
      <c r="U398" s="69"/>
    </row>
    <row r="399" spans="1:23" ht="32.25" customHeight="1" x14ac:dyDescent="0.25">
      <c r="A399" s="52" t="s">
        <v>196</v>
      </c>
      <c r="B399" s="146"/>
      <c r="C399" s="146"/>
      <c r="D399" s="52"/>
      <c r="E399" s="52"/>
      <c r="F399" s="52"/>
      <c r="G399" s="52"/>
      <c r="H399" s="52"/>
      <c r="I399" s="52"/>
      <c r="J399" s="52"/>
      <c r="K399" s="52"/>
      <c r="L399" s="323"/>
      <c r="M399" s="305"/>
      <c r="N399" s="52"/>
      <c r="O399" s="52"/>
      <c r="P399" s="52"/>
      <c r="Q399" s="52"/>
      <c r="R399" s="52"/>
      <c r="S399" s="52"/>
      <c r="T399" s="52"/>
      <c r="U399" s="52"/>
      <c r="W399" s="390" t="s">
        <v>459</v>
      </c>
    </row>
    <row r="400" spans="1:23" ht="14.45" customHeight="1" x14ac:dyDescent="0.25">
      <c r="A400" s="7" t="s">
        <v>197</v>
      </c>
      <c r="B400" s="148"/>
      <c r="C400" s="148"/>
      <c r="D400" s="164">
        <v>0</v>
      </c>
      <c r="E400" s="164">
        <v>0</v>
      </c>
      <c r="F400" s="164"/>
      <c r="G400" s="194">
        <f t="shared" ref="G400:G407" si="73">+F400+E400+D400</f>
        <v>0</v>
      </c>
      <c r="H400" s="218"/>
      <c r="I400" s="218"/>
      <c r="J400" s="218"/>
      <c r="K400" s="164">
        <f t="shared" ref="K400:K407" si="74">+G400-P400</f>
        <v>-3600</v>
      </c>
      <c r="L400" s="364"/>
      <c r="M400" s="105"/>
      <c r="N400" s="105">
        <v>3600</v>
      </c>
      <c r="O400" s="9"/>
      <c r="P400" s="67">
        <f>M400+N400+O400</f>
        <v>3600</v>
      </c>
      <c r="Q400" s="9"/>
      <c r="R400" s="9"/>
      <c r="S400" s="12"/>
      <c r="T400" s="44">
        <v>1000</v>
      </c>
      <c r="U400" s="44">
        <v>950</v>
      </c>
    </row>
    <row r="401" spans="1:23" ht="14.45" customHeight="1" x14ac:dyDescent="0.25">
      <c r="A401" s="7" t="s">
        <v>198</v>
      </c>
      <c r="B401" s="148"/>
      <c r="C401" s="148"/>
      <c r="D401" s="164"/>
      <c r="E401" s="164">
        <v>2750</v>
      </c>
      <c r="F401" s="164"/>
      <c r="G401" s="194">
        <f t="shared" si="73"/>
        <v>2750</v>
      </c>
      <c r="H401" s="218"/>
      <c r="I401" s="218"/>
      <c r="J401" s="218"/>
      <c r="K401" s="164">
        <f t="shared" si="74"/>
        <v>0</v>
      </c>
      <c r="L401" s="364"/>
      <c r="M401" s="105"/>
      <c r="N401" s="105">
        <v>2750</v>
      </c>
      <c r="O401" s="9"/>
      <c r="P401" s="67">
        <f t="shared" ref="P401:P407" si="75">M401+N401+O401</f>
        <v>2750</v>
      </c>
      <c r="Q401" s="9"/>
      <c r="R401" s="9"/>
      <c r="S401" s="12">
        <v>4250</v>
      </c>
      <c r="T401" s="44">
        <v>5850</v>
      </c>
      <c r="U401" s="44">
        <v>5500</v>
      </c>
    </row>
    <row r="402" spans="1:23" ht="29.25" hidden="1" customHeight="1" x14ac:dyDescent="0.25">
      <c r="A402" s="7" t="s">
        <v>199</v>
      </c>
      <c r="B402" s="148"/>
      <c r="C402" s="148"/>
      <c r="D402" s="164"/>
      <c r="E402" s="164"/>
      <c r="F402" s="164"/>
      <c r="G402" s="194">
        <f t="shared" si="73"/>
        <v>0</v>
      </c>
      <c r="H402" s="218"/>
      <c r="I402" s="218"/>
      <c r="J402" s="218"/>
      <c r="K402" s="164">
        <f t="shared" si="74"/>
        <v>0</v>
      </c>
      <c r="L402" s="364"/>
      <c r="M402" s="105"/>
      <c r="N402" s="105"/>
      <c r="O402" s="9"/>
      <c r="P402" s="67">
        <f t="shared" si="75"/>
        <v>0</v>
      </c>
      <c r="Q402" s="9"/>
      <c r="R402" s="9"/>
      <c r="S402" s="12">
        <v>0</v>
      </c>
      <c r="T402" s="44">
        <v>7666</v>
      </c>
      <c r="U402" s="44">
        <v>0</v>
      </c>
    </row>
    <row r="403" spans="1:23" ht="14.45" customHeight="1" x14ac:dyDescent="0.25">
      <c r="A403" s="7" t="s">
        <v>200</v>
      </c>
      <c r="B403" s="148"/>
      <c r="C403" s="148"/>
      <c r="D403" s="164"/>
      <c r="E403" s="164">
        <v>0</v>
      </c>
      <c r="F403" s="164"/>
      <c r="G403" s="194">
        <f t="shared" si="73"/>
        <v>0</v>
      </c>
      <c r="H403" s="218"/>
      <c r="I403" s="218"/>
      <c r="J403" s="218"/>
      <c r="K403" s="164">
        <f>+G403-P403</f>
        <v>-2400</v>
      </c>
      <c r="L403" s="364"/>
      <c r="M403" s="105"/>
      <c r="N403" s="204">
        <v>2400</v>
      </c>
      <c r="O403" s="9"/>
      <c r="P403" s="67">
        <f t="shared" si="75"/>
        <v>2400</v>
      </c>
      <c r="Q403" s="9"/>
      <c r="R403" s="9"/>
      <c r="S403" s="12">
        <v>2400</v>
      </c>
      <c r="T403" s="44">
        <v>8000</v>
      </c>
      <c r="U403" s="44">
        <v>0</v>
      </c>
    </row>
    <row r="404" spans="1:23" ht="14.45" customHeight="1" x14ac:dyDescent="0.25">
      <c r="A404" s="148" t="s">
        <v>201</v>
      </c>
      <c r="B404" s="148"/>
      <c r="C404" s="148"/>
      <c r="D404" s="181"/>
      <c r="E404" s="181">
        <v>500</v>
      </c>
      <c r="F404" s="181"/>
      <c r="G404" s="194">
        <f t="shared" si="73"/>
        <v>500</v>
      </c>
      <c r="H404" s="221"/>
      <c r="I404" s="221"/>
      <c r="J404" s="221"/>
      <c r="K404" s="164">
        <f t="shared" si="74"/>
        <v>-1000</v>
      </c>
      <c r="L404" s="368"/>
      <c r="M404" s="105"/>
      <c r="N404" s="105"/>
      <c r="O404" s="67">
        <v>1500</v>
      </c>
      <c r="P404" s="67">
        <f t="shared" si="75"/>
        <v>1500</v>
      </c>
      <c r="Q404" s="9"/>
      <c r="R404" s="9"/>
      <c r="S404" s="12">
        <v>2000</v>
      </c>
      <c r="T404" s="44">
        <v>0</v>
      </c>
      <c r="U404" s="44">
        <v>0</v>
      </c>
    </row>
    <row r="405" spans="1:23" ht="14.45" hidden="1" customHeight="1" x14ac:dyDescent="0.25">
      <c r="A405" s="148" t="s">
        <v>202</v>
      </c>
      <c r="B405" s="148"/>
      <c r="C405" s="148"/>
      <c r="D405" s="181"/>
      <c r="E405" s="181"/>
      <c r="F405" s="181"/>
      <c r="G405" s="194">
        <f t="shared" si="73"/>
        <v>0</v>
      </c>
      <c r="H405" s="221"/>
      <c r="I405" s="221"/>
      <c r="J405" s="221"/>
      <c r="K405" s="164">
        <f t="shared" si="74"/>
        <v>0</v>
      </c>
      <c r="L405" s="368"/>
      <c r="M405" s="105"/>
      <c r="N405" s="105"/>
      <c r="O405" s="9"/>
      <c r="P405" s="9">
        <f t="shared" si="75"/>
        <v>0</v>
      </c>
      <c r="Q405" s="9"/>
      <c r="R405" s="9"/>
      <c r="S405" s="12">
        <v>500</v>
      </c>
      <c r="T405" s="44">
        <v>0</v>
      </c>
      <c r="U405" s="44">
        <v>0</v>
      </c>
    </row>
    <row r="406" spans="1:23" ht="14.45" customHeight="1" x14ac:dyDescent="0.25">
      <c r="A406" s="148" t="s">
        <v>203</v>
      </c>
      <c r="B406" s="148"/>
      <c r="C406" s="148"/>
      <c r="D406" s="181"/>
      <c r="E406" s="181">
        <v>5000</v>
      </c>
      <c r="F406" s="181"/>
      <c r="G406" s="194">
        <f t="shared" si="73"/>
        <v>5000</v>
      </c>
      <c r="H406" s="221"/>
      <c r="I406" s="221"/>
      <c r="J406" s="221"/>
      <c r="K406" s="164">
        <f t="shared" si="74"/>
        <v>-500</v>
      </c>
      <c r="L406" s="368"/>
      <c r="M406" s="105"/>
      <c r="N406" s="204">
        <v>5000</v>
      </c>
      <c r="O406" s="88">
        <v>500</v>
      </c>
      <c r="P406" s="67">
        <f t="shared" si="75"/>
        <v>5500</v>
      </c>
      <c r="Q406" s="9"/>
      <c r="R406" s="9"/>
      <c r="S406" s="12">
        <v>2000</v>
      </c>
      <c r="T406" s="44">
        <v>0</v>
      </c>
      <c r="U406" s="44">
        <v>0</v>
      </c>
    </row>
    <row r="407" spans="1:23" ht="14.45" customHeight="1" x14ac:dyDescent="0.25">
      <c r="A407" s="148" t="s">
        <v>204</v>
      </c>
      <c r="B407" s="148"/>
      <c r="C407" s="148"/>
      <c r="D407" s="181"/>
      <c r="E407" s="181"/>
      <c r="F407" s="181"/>
      <c r="G407" s="194">
        <f t="shared" si="73"/>
        <v>0</v>
      </c>
      <c r="H407" s="221"/>
      <c r="I407" s="221"/>
      <c r="J407" s="221"/>
      <c r="K407" s="164">
        <f t="shared" si="74"/>
        <v>0</v>
      </c>
      <c r="L407" s="368"/>
      <c r="M407" s="105"/>
      <c r="N407" s="105"/>
      <c r="O407" s="67"/>
      <c r="P407" s="9">
        <f t="shared" si="75"/>
        <v>0</v>
      </c>
      <c r="Q407" s="9"/>
      <c r="R407" s="9"/>
      <c r="S407" s="12">
        <v>4000</v>
      </c>
      <c r="T407" s="44">
        <v>0</v>
      </c>
      <c r="U407" s="44">
        <v>0</v>
      </c>
    </row>
    <row r="408" spans="1:23" ht="14.45" customHeight="1" x14ac:dyDescent="0.25">
      <c r="A408" s="142" t="s">
        <v>205</v>
      </c>
      <c r="B408" s="293"/>
      <c r="C408" s="293"/>
      <c r="D408" s="45">
        <f t="shared" ref="D408:G408" si="76">SUM(D400:D407)</f>
        <v>0</v>
      </c>
      <c r="E408" s="45">
        <f t="shared" si="76"/>
        <v>8250</v>
      </c>
      <c r="F408" s="45">
        <f t="shared" si="76"/>
        <v>0</v>
      </c>
      <c r="G408" s="45">
        <f t="shared" si="76"/>
        <v>8250</v>
      </c>
      <c r="H408" s="224"/>
      <c r="I408" s="224"/>
      <c r="J408" s="224"/>
      <c r="K408" s="224">
        <f>SUM(K400:K407)</f>
        <v>-7500</v>
      </c>
      <c r="L408" s="365"/>
      <c r="M408" s="205">
        <f>SUM(M400:M407)</f>
        <v>0</v>
      </c>
      <c r="N408" s="205">
        <f t="shared" ref="N408:O408" si="77">SUM(N400:N407)</f>
        <v>13750</v>
      </c>
      <c r="O408" s="45">
        <f t="shared" si="77"/>
        <v>2000</v>
      </c>
      <c r="P408" s="45">
        <f>SUM(M408:O408)</f>
        <v>15750</v>
      </c>
      <c r="Q408" s="60">
        <f>P408/P49</f>
        <v>2.3846438023486091E-3</v>
      </c>
      <c r="R408" s="48">
        <f>P408-S408</f>
        <v>1100</v>
      </c>
      <c r="S408" s="32">
        <v>14650</v>
      </c>
      <c r="T408" s="49">
        <v>22516</v>
      </c>
      <c r="U408" s="49">
        <v>6450</v>
      </c>
    </row>
    <row r="409" spans="1:23" ht="15" customHeight="1" x14ac:dyDescent="0.25">
      <c r="A409" s="5"/>
      <c r="B409" s="543"/>
      <c r="C409" s="543"/>
      <c r="D409" s="185"/>
      <c r="E409" s="185"/>
      <c r="F409" s="185"/>
      <c r="G409" s="185"/>
      <c r="H409" s="224"/>
      <c r="I409" s="437"/>
      <c r="J409" s="437"/>
      <c r="K409" s="212"/>
      <c r="L409" s="332"/>
      <c r="M409" s="121"/>
      <c r="N409" s="121"/>
      <c r="O409" s="121"/>
      <c r="P409" s="121"/>
      <c r="Q409" s="122"/>
      <c r="R409" s="136"/>
      <c r="S409" s="124"/>
      <c r="T409" s="37"/>
      <c r="U409" s="37"/>
    </row>
    <row r="410" spans="1:23" ht="31.5" customHeight="1" x14ac:dyDescent="0.25">
      <c r="A410" s="52" t="s">
        <v>206</v>
      </c>
      <c r="B410" s="146"/>
      <c r="C410" s="146"/>
      <c r="D410" s="52"/>
      <c r="E410" s="52"/>
      <c r="F410" s="52"/>
      <c r="G410" s="52"/>
      <c r="H410" s="52"/>
      <c r="I410" s="52"/>
      <c r="J410" s="52"/>
      <c r="K410" s="52"/>
      <c r="L410" s="323"/>
      <c r="M410" s="305"/>
      <c r="N410" s="52"/>
      <c r="O410" s="52"/>
      <c r="P410" s="52"/>
      <c r="Q410" s="52"/>
      <c r="R410" s="52"/>
      <c r="S410" s="52"/>
      <c r="T410" s="52"/>
      <c r="U410" s="52"/>
      <c r="W410" s="390" t="s">
        <v>459</v>
      </c>
    </row>
    <row r="411" spans="1:23" ht="14.45" customHeight="1" x14ac:dyDescent="0.25">
      <c r="A411" s="148" t="s">
        <v>207</v>
      </c>
      <c r="B411" s="148"/>
      <c r="C411" s="148"/>
      <c r="D411" s="254">
        <v>0</v>
      </c>
      <c r="E411" s="254">
        <v>18662</v>
      </c>
      <c r="F411" s="164"/>
      <c r="G411" s="194">
        <f>+F411+E411+D411</f>
        <v>18662</v>
      </c>
      <c r="H411" s="218"/>
      <c r="I411" s="296"/>
      <c r="J411" s="296"/>
      <c r="K411" s="164">
        <f t="shared" ref="K411:K416" si="78">+G411-P411</f>
        <v>7462</v>
      </c>
      <c r="L411" s="364"/>
      <c r="M411" s="105">
        <v>11200</v>
      </c>
      <c r="N411" s="105"/>
      <c r="O411" s="9"/>
      <c r="P411" s="9">
        <f>M411+N411+O411</f>
        <v>11200</v>
      </c>
      <c r="Q411" s="9"/>
      <c r="R411" s="9"/>
      <c r="S411" s="12">
        <v>4800</v>
      </c>
      <c r="T411" s="44">
        <v>0</v>
      </c>
      <c r="U411" s="44">
        <v>0</v>
      </c>
    </row>
    <row r="412" spans="1:23" ht="14.45" customHeight="1" x14ac:dyDescent="0.25">
      <c r="A412" s="144" t="s">
        <v>208</v>
      </c>
      <c r="B412" s="148"/>
      <c r="C412" s="554"/>
      <c r="D412" s="168"/>
      <c r="E412" s="168"/>
      <c r="F412" s="168"/>
      <c r="G412" s="194">
        <f>+F412+E412+D412</f>
        <v>0</v>
      </c>
      <c r="H412" s="221"/>
      <c r="I412" s="442"/>
      <c r="J412" s="442"/>
      <c r="K412" s="164">
        <f t="shared" si="78"/>
        <v>-9635</v>
      </c>
      <c r="L412" s="368"/>
      <c r="M412" s="204">
        <v>9635</v>
      </c>
      <c r="N412" s="105"/>
      <c r="O412" s="9"/>
      <c r="P412" s="67">
        <f t="shared" ref="P412:P416" si="79">M412+N412+O412</f>
        <v>9635</v>
      </c>
      <c r="Q412" s="9"/>
      <c r="R412" s="9"/>
      <c r="S412" s="12"/>
      <c r="T412" s="44"/>
      <c r="U412" s="44"/>
    </row>
    <row r="413" spans="1:23" ht="14.45" customHeight="1" x14ac:dyDescent="0.25">
      <c r="A413" s="572" t="s">
        <v>209</v>
      </c>
      <c r="B413" s="148"/>
      <c r="C413" s="148"/>
      <c r="D413" s="181">
        <v>0</v>
      </c>
      <c r="E413" s="181"/>
      <c r="F413" s="433">
        <v>2800</v>
      </c>
      <c r="G413" s="194">
        <f t="shared" ref="G413:G416" si="80">+F413+E413+D413</f>
        <v>2800</v>
      </c>
      <c r="H413" s="221"/>
      <c r="I413" s="442"/>
      <c r="J413" s="442"/>
      <c r="K413" s="164">
        <f t="shared" si="78"/>
        <v>-3155</v>
      </c>
      <c r="L413" s="368"/>
      <c r="M413" s="204">
        <v>2955</v>
      </c>
      <c r="N413" s="105"/>
      <c r="O413" s="89">
        <v>3000</v>
      </c>
      <c r="P413" s="67">
        <f t="shared" si="79"/>
        <v>5955</v>
      </c>
      <c r="Q413" s="9"/>
      <c r="R413" s="9"/>
      <c r="S413" s="12">
        <v>5260</v>
      </c>
      <c r="T413" s="44">
        <v>2000</v>
      </c>
      <c r="U413" s="44">
        <v>1565</v>
      </c>
    </row>
    <row r="414" spans="1:23" ht="14.45" customHeight="1" x14ac:dyDescent="0.25">
      <c r="A414" s="148" t="s">
        <v>210</v>
      </c>
      <c r="B414" s="148"/>
      <c r="C414" s="148"/>
      <c r="D414" s="181"/>
      <c r="E414" s="181"/>
      <c r="F414" s="181"/>
      <c r="G414" s="194">
        <f t="shared" si="80"/>
        <v>0</v>
      </c>
      <c r="H414" s="221"/>
      <c r="I414" s="442"/>
      <c r="J414" s="442"/>
      <c r="K414" s="164">
        <f t="shared" si="78"/>
        <v>0</v>
      </c>
      <c r="L414" s="368"/>
      <c r="M414" s="204"/>
      <c r="N414" s="105"/>
      <c r="O414" s="9"/>
      <c r="P414" s="67">
        <f t="shared" si="79"/>
        <v>0</v>
      </c>
      <c r="Q414" s="9"/>
      <c r="R414" s="9"/>
      <c r="S414" s="12">
        <v>9000</v>
      </c>
      <c r="T414" s="44">
        <v>0</v>
      </c>
      <c r="U414" s="44">
        <v>0</v>
      </c>
    </row>
    <row r="415" spans="1:23" ht="14.45" customHeight="1" x14ac:dyDescent="0.25">
      <c r="A415" s="572" t="s">
        <v>445</v>
      </c>
      <c r="B415" s="148"/>
      <c r="C415" s="148"/>
      <c r="D415" s="181">
        <v>0</v>
      </c>
      <c r="E415" s="254">
        <v>1700</v>
      </c>
      <c r="F415" s="433">
        <v>240</v>
      </c>
      <c r="G415" s="194">
        <f t="shared" si="80"/>
        <v>1940</v>
      </c>
      <c r="H415" s="221"/>
      <c r="I415" s="442"/>
      <c r="J415" s="442"/>
      <c r="K415" s="164">
        <f t="shared" si="78"/>
        <v>1940</v>
      </c>
      <c r="L415" s="368"/>
      <c r="M415" s="204"/>
      <c r="N415" s="105"/>
      <c r="O415" s="9"/>
      <c r="P415" s="67"/>
      <c r="Q415" s="9"/>
      <c r="R415" s="9"/>
      <c r="S415" s="12"/>
      <c r="T415" s="44"/>
      <c r="U415" s="44"/>
    </row>
    <row r="416" spans="1:23" ht="14.45" customHeight="1" x14ac:dyDescent="0.25">
      <c r="A416" s="7" t="s">
        <v>211</v>
      </c>
      <c r="B416" s="148"/>
      <c r="C416" s="148"/>
      <c r="D416" s="164">
        <v>0</v>
      </c>
      <c r="E416" s="254">
        <v>26765</v>
      </c>
      <c r="F416" s="164"/>
      <c r="G416" s="194">
        <f t="shared" si="80"/>
        <v>26765</v>
      </c>
      <c r="H416" s="218"/>
      <c r="I416" s="296"/>
      <c r="J416" s="296"/>
      <c r="K416" s="164">
        <f t="shared" si="78"/>
        <v>26765</v>
      </c>
      <c r="L416" s="364"/>
      <c r="M416" s="105"/>
      <c r="N416" s="105"/>
      <c r="O416" s="9"/>
      <c r="P416" s="9">
        <f t="shared" si="79"/>
        <v>0</v>
      </c>
      <c r="Q416" s="9"/>
      <c r="R416" s="9"/>
      <c r="S416" s="12">
        <v>0</v>
      </c>
      <c r="T416" s="44">
        <v>18000</v>
      </c>
      <c r="U416" s="44">
        <v>8783</v>
      </c>
    </row>
    <row r="417" spans="1:23" ht="15" customHeight="1" x14ac:dyDescent="0.25">
      <c r="A417" s="142" t="s">
        <v>212</v>
      </c>
      <c r="B417" s="293"/>
      <c r="C417" s="293"/>
      <c r="D417" s="176">
        <f t="shared" ref="D417:G417" si="81">SUM(D411:D416)</f>
        <v>0</v>
      </c>
      <c r="E417" s="176">
        <f>SUM(E411:E416)</f>
        <v>47127</v>
      </c>
      <c r="F417" s="176">
        <f t="shared" si="81"/>
        <v>3040</v>
      </c>
      <c r="G417" s="176">
        <f t="shared" si="81"/>
        <v>50167</v>
      </c>
      <c r="H417" s="224"/>
      <c r="I417" s="224"/>
      <c r="J417" s="224"/>
      <c r="K417" s="224">
        <f>SUM(K411:K416)</f>
        <v>23377</v>
      </c>
      <c r="L417" s="365"/>
      <c r="M417" s="205">
        <f>SUM(M411:M416)</f>
        <v>23790</v>
      </c>
      <c r="N417" s="205">
        <f t="shared" ref="N417:O417" si="82">SUM(N411:N416)</f>
        <v>0</v>
      </c>
      <c r="O417" s="45">
        <f t="shared" si="82"/>
        <v>3000</v>
      </c>
      <c r="P417" s="45">
        <f>SUM(M417:O417)</f>
        <v>26790</v>
      </c>
      <c r="Q417" s="60">
        <f>P417/P49</f>
        <v>4.0561655533282058E-3</v>
      </c>
      <c r="R417" s="48">
        <f>P417-S417</f>
        <v>7730</v>
      </c>
      <c r="S417" s="32">
        <f>SUM(S411:S416)</f>
        <v>19060</v>
      </c>
      <c r="T417" s="49">
        <v>20000</v>
      </c>
      <c r="U417" s="49">
        <v>10348</v>
      </c>
      <c r="W417" s="342"/>
    </row>
    <row r="418" spans="1:23" ht="15" customHeight="1" x14ac:dyDescent="0.25">
      <c r="A418" s="61"/>
      <c r="B418" s="69"/>
      <c r="C418" s="69"/>
      <c r="D418" s="178"/>
      <c r="E418" s="178"/>
      <c r="F418" s="178"/>
      <c r="G418" s="178"/>
      <c r="H418" s="215"/>
      <c r="I418" s="212"/>
      <c r="J418" s="212"/>
      <c r="K418" s="212"/>
      <c r="L418" s="328"/>
      <c r="M418" s="51"/>
      <c r="N418" s="51"/>
      <c r="O418" s="51"/>
      <c r="P418" s="61"/>
      <c r="Q418" s="61"/>
      <c r="R418" s="68"/>
      <c r="S418" s="69"/>
      <c r="T418" s="69"/>
      <c r="U418" s="69"/>
    </row>
    <row r="419" spans="1:23" ht="30" customHeight="1" x14ac:dyDescent="0.25">
      <c r="A419" s="52" t="s">
        <v>213</v>
      </c>
      <c r="B419" s="146"/>
      <c r="C419" s="146"/>
      <c r="D419" s="52"/>
      <c r="E419" s="52"/>
      <c r="F419" s="52"/>
      <c r="G419" s="52"/>
      <c r="H419" s="52"/>
      <c r="I419" s="52"/>
      <c r="J419" s="52"/>
      <c r="K419" s="52"/>
      <c r="L419" s="323"/>
      <c r="M419" s="305"/>
      <c r="N419" s="52"/>
      <c r="O419" s="52"/>
      <c r="P419" s="52"/>
      <c r="Q419" s="52"/>
      <c r="R419" s="52"/>
      <c r="S419" s="52"/>
      <c r="T419" s="52"/>
      <c r="U419" s="52"/>
      <c r="W419" s="390" t="s">
        <v>458</v>
      </c>
    </row>
    <row r="420" spans="1:23" ht="31.5" hidden="1" customHeight="1" x14ac:dyDescent="0.25"/>
    <row r="421" spans="1:23" ht="14.45" hidden="1" customHeight="1" x14ac:dyDescent="0.25"/>
    <row r="422" spans="1:23" ht="14.45" hidden="1" customHeight="1" x14ac:dyDescent="0.25"/>
    <row r="423" spans="1:23" ht="14.45" hidden="1" customHeight="1" x14ac:dyDescent="0.25"/>
    <row r="424" spans="1:23" ht="14.45" hidden="1" customHeight="1" x14ac:dyDescent="0.25"/>
    <row r="425" spans="1:23" ht="14.45" hidden="1" customHeight="1" x14ac:dyDescent="0.25"/>
    <row r="426" spans="1:23" ht="14.45" hidden="1" customHeight="1" x14ac:dyDescent="0.25"/>
    <row r="427" spans="1:23" ht="14.45" hidden="1" customHeight="1" x14ac:dyDescent="0.25"/>
    <row r="428" spans="1:23" ht="14.45" hidden="1" customHeight="1" x14ac:dyDescent="0.25"/>
    <row r="429" spans="1:23" ht="14.45" hidden="1" customHeight="1" x14ac:dyDescent="0.25"/>
    <row r="430" spans="1:23" ht="14.45" hidden="1" customHeight="1" x14ac:dyDescent="0.25"/>
    <row r="431" spans="1:23" ht="14.45" hidden="1" customHeight="1" x14ac:dyDescent="0.25"/>
    <row r="432" spans="1:23" ht="14.45" hidden="1" customHeight="1" x14ac:dyDescent="0.25"/>
    <row r="433" spans="1:21" ht="14.45" customHeight="1" x14ac:dyDescent="0.25">
      <c r="A433" s="144" t="s">
        <v>218</v>
      </c>
      <c r="B433" s="148"/>
      <c r="C433" s="554"/>
      <c r="D433" s="168"/>
      <c r="E433" s="168"/>
      <c r="F433" s="168"/>
      <c r="G433" s="194">
        <f t="shared" ref="G433:G444" si="83">+F433+E433+D433</f>
        <v>0</v>
      </c>
      <c r="H433" s="221"/>
      <c r="I433" s="221"/>
      <c r="J433" s="221"/>
      <c r="K433" s="164">
        <f t="shared" ref="K433:K445" si="84">+G433-P433</f>
        <v>-6000</v>
      </c>
      <c r="L433" s="368"/>
      <c r="M433" s="105"/>
      <c r="N433" s="105">
        <v>6000</v>
      </c>
      <c r="O433" s="9"/>
      <c r="P433" s="67">
        <f t="shared" ref="P433:P444" si="85">M433+N433+O433</f>
        <v>6000</v>
      </c>
      <c r="Q433" s="9"/>
      <c r="R433" s="9"/>
      <c r="S433" s="12"/>
      <c r="T433" s="44"/>
      <c r="U433" s="90"/>
    </row>
    <row r="434" spans="1:21" ht="14.45" customHeight="1" x14ac:dyDescent="0.25">
      <c r="A434" s="148" t="s">
        <v>219</v>
      </c>
      <c r="B434" s="148"/>
      <c r="C434" s="148"/>
      <c r="D434" s="181"/>
      <c r="E434" s="181">
        <v>3000</v>
      </c>
      <c r="F434" s="181"/>
      <c r="G434" s="194">
        <f t="shared" si="83"/>
        <v>3000</v>
      </c>
      <c r="H434" s="221"/>
      <c r="I434" s="221"/>
      <c r="J434" s="221"/>
      <c r="K434" s="164">
        <f t="shared" si="84"/>
        <v>-5000</v>
      </c>
      <c r="L434" s="368"/>
      <c r="M434" s="105"/>
      <c r="N434" s="105">
        <v>8000</v>
      </c>
      <c r="O434" s="9"/>
      <c r="P434" s="67">
        <f t="shared" si="85"/>
        <v>8000</v>
      </c>
      <c r="Q434" s="9"/>
      <c r="R434" s="9"/>
      <c r="S434" s="12">
        <v>6000</v>
      </c>
      <c r="T434" s="44">
        <v>3000</v>
      </c>
      <c r="U434" s="44">
        <v>2325</v>
      </c>
    </row>
    <row r="435" spans="1:21" ht="14.45" customHeight="1" x14ac:dyDescent="0.25">
      <c r="A435" s="148" t="s">
        <v>78</v>
      </c>
      <c r="B435" s="148"/>
      <c r="C435" s="148"/>
      <c r="D435" s="181"/>
      <c r="E435" s="181">
        <v>600</v>
      </c>
      <c r="F435" s="181"/>
      <c r="G435" s="194">
        <f t="shared" si="83"/>
        <v>600</v>
      </c>
      <c r="H435" s="221"/>
      <c r="I435" s="221"/>
      <c r="J435" s="221"/>
      <c r="K435" s="164">
        <f t="shared" si="84"/>
        <v>0</v>
      </c>
      <c r="L435" s="368"/>
      <c r="M435" s="105"/>
      <c r="N435" s="105">
        <v>600</v>
      </c>
      <c r="O435" s="9"/>
      <c r="P435" s="67">
        <f t="shared" si="85"/>
        <v>600</v>
      </c>
      <c r="Q435" s="9"/>
      <c r="R435" s="9"/>
      <c r="S435" s="12"/>
      <c r="T435" s="44">
        <v>250</v>
      </c>
      <c r="U435" s="44">
        <v>53.99</v>
      </c>
    </row>
    <row r="436" spans="1:21" ht="15" customHeight="1" x14ac:dyDescent="0.25">
      <c r="A436" s="153" t="s">
        <v>220</v>
      </c>
      <c r="B436" s="153"/>
      <c r="C436" s="153"/>
      <c r="D436" s="190"/>
      <c r="E436" s="190">
        <v>1920</v>
      </c>
      <c r="F436" s="190"/>
      <c r="G436" s="194">
        <f t="shared" si="83"/>
        <v>1920</v>
      </c>
      <c r="H436" s="228"/>
      <c r="I436" s="228"/>
      <c r="J436" s="228"/>
      <c r="K436" s="164">
        <f t="shared" si="84"/>
        <v>-11080</v>
      </c>
      <c r="L436" s="375"/>
      <c r="M436" s="105"/>
      <c r="N436" s="105">
        <v>13000</v>
      </c>
      <c r="O436" s="9"/>
      <c r="P436" s="67">
        <f t="shared" si="85"/>
        <v>13000</v>
      </c>
      <c r="Q436" s="9"/>
      <c r="R436" s="9"/>
      <c r="S436" s="12">
        <v>1000</v>
      </c>
      <c r="T436" s="44">
        <v>10000</v>
      </c>
      <c r="U436" s="44">
        <v>5993.12</v>
      </c>
    </row>
    <row r="437" spans="1:21" ht="15" customHeight="1" x14ac:dyDescent="0.25">
      <c r="A437" s="144" t="s">
        <v>221</v>
      </c>
      <c r="B437" s="148"/>
      <c r="C437" s="554"/>
      <c r="D437" s="168"/>
      <c r="E437" s="280">
        <v>15000</v>
      </c>
      <c r="F437" s="168"/>
      <c r="G437" s="194">
        <f t="shared" si="83"/>
        <v>15000</v>
      </c>
      <c r="H437" s="221"/>
      <c r="I437" s="221"/>
      <c r="J437" s="221"/>
      <c r="K437" s="164">
        <f t="shared" si="84"/>
        <v>12000</v>
      </c>
      <c r="L437" s="368"/>
      <c r="M437" s="105"/>
      <c r="N437" s="105">
        <v>3000</v>
      </c>
      <c r="O437" s="9"/>
      <c r="P437" s="67">
        <f t="shared" si="85"/>
        <v>3000</v>
      </c>
      <c r="Q437" s="9"/>
      <c r="R437" s="9"/>
      <c r="S437" s="12"/>
      <c r="T437" s="44"/>
      <c r="U437" s="90"/>
    </row>
    <row r="438" spans="1:21" ht="14.45" customHeight="1" x14ac:dyDescent="0.25">
      <c r="A438" s="148" t="s">
        <v>67</v>
      </c>
      <c r="B438" s="148"/>
      <c r="C438" s="148"/>
      <c r="D438" s="181"/>
      <c r="E438" s="181">
        <v>240</v>
      </c>
      <c r="F438" s="181"/>
      <c r="G438" s="194">
        <f t="shared" si="83"/>
        <v>240</v>
      </c>
      <c r="H438" s="221"/>
      <c r="I438" s="221"/>
      <c r="J438" s="221"/>
      <c r="K438" s="164">
        <f t="shared" si="84"/>
        <v>0</v>
      </c>
      <c r="L438" s="368"/>
      <c r="M438" s="105"/>
      <c r="N438" s="105">
        <v>240</v>
      </c>
      <c r="O438" s="9"/>
      <c r="P438" s="67">
        <f t="shared" si="85"/>
        <v>240</v>
      </c>
      <c r="Q438" s="9"/>
      <c r="R438" s="9"/>
      <c r="S438" s="12"/>
      <c r="T438" s="44">
        <v>250</v>
      </c>
      <c r="U438" s="44">
        <v>186.77</v>
      </c>
    </row>
    <row r="439" spans="1:21" ht="14.45" customHeight="1" x14ac:dyDescent="0.25">
      <c r="A439" s="148" t="s">
        <v>79</v>
      </c>
      <c r="B439" s="148"/>
      <c r="C439" s="148"/>
      <c r="D439" s="181"/>
      <c r="E439" s="181">
        <v>600</v>
      </c>
      <c r="F439" s="181"/>
      <c r="G439" s="194">
        <f t="shared" si="83"/>
        <v>600</v>
      </c>
      <c r="H439" s="221"/>
      <c r="I439" s="221"/>
      <c r="J439" s="221"/>
      <c r="K439" s="164">
        <f t="shared" si="84"/>
        <v>-1200</v>
      </c>
      <c r="L439" s="368"/>
      <c r="M439" s="105"/>
      <c r="N439" s="105">
        <v>1800</v>
      </c>
      <c r="O439" s="9"/>
      <c r="P439" s="67">
        <f t="shared" si="85"/>
        <v>1800</v>
      </c>
      <c r="Q439" s="9"/>
      <c r="R439" s="9"/>
      <c r="S439" s="12">
        <v>1800</v>
      </c>
      <c r="T439" s="44">
        <v>0</v>
      </c>
      <c r="U439" s="44">
        <v>0</v>
      </c>
    </row>
    <row r="440" spans="1:21" ht="14.45" customHeight="1" x14ac:dyDescent="0.25">
      <c r="A440" s="144" t="s">
        <v>102</v>
      </c>
      <c r="B440" s="148"/>
      <c r="C440" s="554"/>
      <c r="D440" s="168"/>
      <c r="E440" s="168">
        <v>1500</v>
      </c>
      <c r="F440" s="168"/>
      <c r="G440" s="194">
        <f t="shared" si="83"/>
        <v>1500</v>
      </c>
      <c r="H440" s="221"/>
      <c r="I440" s="221"/>
      <c r="J440" s="221"/>
      <c r="K440" s="164">
        <f t="shared" si="84"/>
        <v>1000</v>
      </c>
      <c r="L440" s="368"/>
      <c r="M440" s="105"/>
      <c r="N440" s="105">
        <v>500</v>
      </c>
      <c r="O440" s="9"/>
      <c r="P440" s="67">
        <f t="shared" si="85"/>
        <v>500</v>
      </c>
      <c r="Q440" s="9"/>
      <c r="R440" s="9"/>
      <c r="S440" s="12"/>
      <c r="T440" s="44"/>
      <c r="U440" s="90"/>
    </row>
    <row r="441" spans="1:21" ht="14.45" customHeight="1" x14ac:dyDescent="0.25">
      <c r="A441" s="144" t="s">
        <v>222</v>
      </c>
      <c r="B441" s="148"/>
      <c r="C441" s="554"/>
      <c r="D441" s="168"/>
      <c r="E441" s="168">
        <v>11700</v>
      </c>
      <c r="F441" s="168"/>
      <c r="G441" s="194">
        <f t="shared" si="83"/>
        <v>11700</v>
      </c>
      <c r="H441" s="221"/>
      <c r="I441" s="221"/>
      <c r="J441" s="221"/>
      <c r="K441" s="164">
        <f t="shared" si="84"/>
        <v>7031</v>
      </c>
      <c r="L441" s="368"/>
      <c r="M441" s="105"/>
      <c r="N441" s="204">
        <v>4669</v>
      </c>
      <c r="O441" s="9"/>
      <c r="P441" s="67">
        <f t="shared" si="85"/>
        <v>4669</v>
      </c>
      <c r="Q441" s="9"/>
      <c r="R441" s="9"/>
      <c r="S441" s="12"/>
      <c r="T441" s="44"/>
      <c r="U441" s="90"/>
    </row>
    <row r="442" spans="1:21" ht="15" customHeight="1" x14ac:dyDescent="0.25">
      <c r="A442" s="148" t="s">
        <v>223</v>
      </c>
      <c r="B442" s="148"/>
      <c r="C442" s="148"/>
      <c r="D442" s="181"/>
      <c r="E442" s="181">
        <v>540</v>
      </c>
      <c r="F442" s="181"/>
      <c r="G442" s="194">
        <f t="shared" si="83"/>
        <v>540</v>
      </c>
      <c r="H442" s="221"/>
      <c r="I442" s="221"/>
      <c r="J442" s="221"/>
      <c r="K442" s="164">
        <f t="shared" si="84"/>
        <v>-270</v>
      </c>
      <c r="L442" s="368"/>
      <c r="M442" s="105"/>
      <c r="N442" s="105">
        <v>810</v>
      </c>
      <c r="O442" s="9"/>
      <c r="P442" s="67">
        <f t="shared" si="85"/>
        <v>810</v>
      </c>
      <c r="Q442" s="9"/>
      <c r="R442" s="9"/>
      <c r="S442" s="12"/>
      <c r="T442" s="44">
        <v>10000</v>
      </c>
      <c r="U442" s="44">
        <v>4366</v>
      </c>
    </row>
    <row r="443" spans="1:21" ht="16.5" customHeight="1" x14ac:dyDescent="0.25">
      <c r="A443" s="144" t="s">
        <v>224</v>
      </c>
      <c r="B443" s="148"/>
      <c r="C443" s="554"/>
      <c r="D443" s="168"/>
      <c r="E443" s="168">
        <v>1000</v>
      </c>
      <c r="F443" s="168"/>
      <c r="G443" s="194">
        <f t="shared" si="83"/>
        <v>1000</v>
      </c>
      <c r="H443" s="221"/>
      <c r="I443" s="221"/>
      <c r="J443" s="221"/>
      <c r="K443" s="164">
        <f t="shared" si="84"/>
        <v>-1400</v>
      </c>
      <c r="L443" s="368"/>
      <c r="M443" s="105"/>
      <c r="N443" s="105">
        <v>2400</v>
      </c>
      <c r="O443" s="9"/>
      <c r="P443" s="67">
        <f t="shared" si="85"/>
        <v>2400</v>
      </c>
      <c r="Q443" s="9"/>
      <c r="R443" s="9"/>
      <c r="S443" s="12"/>
      <c r="T443" s="44"/>
      <c r="U443" s="90"/>
    </row>
    <row r="444" spans="1:21" ht="14.45" customHeight="1" x14ac:dyDescent="0.25">
      <c r="A444" s="148" t="s">
        <v>225</v>
      </c>
      <c r="B444" s="148"/>
      <c r="C444" s="148"/>
      <c r="D444" s="181"/>
      <c r="E444" s="181">
        <v>2500</v>
      </c>
      <c r="F444" s="181"/>
      <c r="G444" s="194">
        <f t="shared" si="83"/>
        <v>2500</v>
      </c>
      <c r="H444" s="221"/>
      <c r="I444" s="221"/>
      <c r="J444" s="221"/>
      <c r="K444" s="164">
        <f t="shared" si="84"/>
        <v>0</v>
      </c>
      <c r="L444" s="368"/>
      <c r="M444" s="105"/>
      <c r="N444" s="105">
        <v>2500</v>
      </c>
      <c r="O444" s="9"/>
      <c r="P444" s="67">
        <f t="shared" si="85"/>
        <v>2500</v>
      </c>
      <c r="Q444" s="9"/>
      <c r="R444" s="9"/>
      <c r="S444" s="12">
        <v>11000</v>
      </c>
      <c r="T444" s="44">
        <v>0</v>
      </c>
      <c r="U444" s="44">
        <v>0</v>
      </c>
    </row>
    <row r="445" spans="1:21" ht="14.45" hidden="1" customHeight="1" x14ac:dyDescent="0.25">
      <c r="A445" s="7" t="s">
        <v>226</v>
      </c>
      <c r="B445" s="148"/>
      <c r="C445" s="148"/>
      <c r="D445" s="164"/>
      <c r="E445" s="164"/>
      <c r="F445" s="164"/>
      <c r="G445" s="194"/>
      <c r="H445" s="218"/>
      <c r="I445" s="218"/>
      <c r="J445" s="218"/>
      <c r="K445" s="164">
        <f t="shared" si="84"/>
        <v>0</v>
      </c>
      <c r="L445" s="364"/>
      <c r="M445" s="105"/>
      <c r="N445" s="105"/>
      <c r="O445" s="9"/>
      <c r="P445" s="9"/>
      <c r="Q445" s="9"/>
      <c r="R445" s="9"/>
      <c r="S445" s="12">
        <v>0</v>
      </c>
      <c r="T445" s="44">
        <v>500</v>
      </c>
      <c r="U445" s="44">
        <v>500</v>
      </c>
    </row>
    <row r="446" spans="1:21" ht="14.45" customHeight="1" x14ac:dyDescent="0.25">
      <c r="A446" s="142" t="s">
        <v>227</v>
      </c>
      <c r="B446" s="293"/>
      <c r="C446" s="293"/>
      <c r="D446" s="176">
        <f>SUM(D433:D445)</f>
        <v>0</v>
      </c>
      <c r="E446" s="176">
        <f>SUM(E433:E445)</f>
        <v>38600</v>
      </c>
      <c r="F446" s="176">
        <f>SUM(F433:F445)</f>
        <v>0</v>
      </c>
      <c r="G446" s="176">
        <f>SUM(G433:G445)</f>
        <v>38600</v>
      </c>
      <c r="H446" s="224"/>
      <c r="I446" s="224"/>
      <c r="J446" s="224"/>
      <c r="K446" s="224">
        <f>SUM(K433:K445)</f>
        <v>-4919</v>
      </c>
      <c r="L446" s="365"/>
      <c r="M446" s="176">
        <f>SUM(M433:M445)</f>
        <v>0</v>
      </c>
      <c r="N446" s="176">
        <f>SUM(N433:N445)</f>
        <v>43519</v>
      </c>
      <c r="O446" s="176">
        <f>SUM(O433:O445)</f>
        <v>0</v>
      </c>
      <c r="P446" s="176">
        <f>SUM(P433:P445)</f>
        <v>43519</v>
      </c>
      <c r="Q446" s="60">
        <f>P446/P49</f>
        <v>6.5890357863116903E-3</v>
      </c>
      <c r="R446" s="48">
        <f>P446-S446</f>
        <v>-144225</v>
      </c>
      <c r="S446" s="32">
        <v>187744</v>
      </c>
      <c r="T446" s="49">
        <v>203367.21</v>
      </c>
      <c r="U446" s="49">
        <v>118881.77</v>
      </c>
    </row>
    <row r="447" spans="1:21" ht="15" customHeight="1" x14ac:dyDescent="0.25">
      <c r="A447" s="5"/>
      <c r="B447" s="543"/>
      <c r="C447" s="543"/>
      <c r="D447" s="185"/>
      <c r="E447" s="185"/>
      <c r="F447" s="185"/>
      <c r="G447" s="185"/>
      <c r="H447" s="224"/>
      <c r="I447" s="437"/>
      <c r="J447" s="437"/>
      <c r="K447" s="212"/>
      <c r="L447" s="332"/>
      <c r="M447" s="121"/>
      <c r="N447" s="121"/>
      <c r="O447" s="121"/>
      <c r="P447" s="121"/>
      <c r="Q447" s="122"/>
      <c r="R447" s="136"/>
      <c r="S447" s="124"/>
      <c r="T447" s="37"/>
      <c r="U447" s="37"/>
    </row>
    <row r="448" spans="1:21" ht="30" customHeight="1" x14ac:dyDescent="0.25">
      <c r="A448" s="52" t="s">
        <v>228</v>
      </c>
      <c r="B448" s="146"/>
      <c r="C448" s="146"/>
      <c r="D448" s="52"/>
      <c r="E448" s="52"/>
      <c r="F448" s="52"/>
      <c r="G448" s="52"/>
      <c r="H448" s="52"/>
      <c r="I448" s="52"/>
      <c r="J448" s="52"/>
      <c r="K448" s="52"/>
      <c r="L448" s="323"/>
      <c r="M448" s="305"/>
      <c r="N448" s="52"/>
      <c r="O448" s="52"/>
      <c r="P448" s="52"/>
      <c r="Q448" s="52"/>
      <c r="R448" s="52"/>
      <c r="S448" s="52"/>
      <c r="T448" s="52"/>
      <c r="U448" s="52"/>
    </row>
    <row r="449" spans="1:21" ht="14.45" hidden="1" customHeight="1" x14ac:dyDescent="0.25">
      <c r="A449" s="7" t="s">
        <v>229</v>
      </c>
      <c r="B449" s="148"/>
      <c r="C449" s="148"/>
      <c r="D449" s="164"/>
      <c r="E449" s="164"/>
      <c r="F449" s="164"/>
      <c r="G449" s="194"/>
      <c r="H449" s="218"/>
      <c r="I449" s="218"/>
      <c r="J449" s="218"/>
      <c r="K449" s="164">
        <f t="shared" ref="K449:K469" si="86">+G449-P449</f>
        <v>0</v>
      </c>
      <c r="L449" s="364"/>
      <c r="M449" s="208"/>
      <c r="N449" s="208"/>
      <c r="O449" s="56"/>
      <c r="P449" s="7"/>
      <c r="Q449" s="7"/>
      <c r="R449" s="91"/>
      <c r="S449" s="44">
        <v>0</v>
      </c>
      <c r="T449" s="44">
        <v>0</v>
      </c>
      <c r="U449" s="44">
        <v>161.54</v>
      </c>
    </row>
    <row r="450" spans="1:21" ht="14.45" customHeight="1" x14ac:dyDescent="0.25">
      <c r="A450" s="144" t="s">
        <v>230</v>
      </c>
      <c r="B450" s="148"/>
      <c r="C450" s="554"/>
      <c r="D450" s="168"/>
      <c r="E450" s="168"/>
      <c r="F450" s="168"/>
      <c r="G450" s="194">
        <f t="shared" ref="G450:G471" si="87">+F450+E450+D450</f>
        <v>0</v>
      </c>
      <c r="H450" s="221"/>
      <c r="I450" s="221"/>
      <c r="J450" s="221"/>
      <c r="K450" s="164">
        <f>+G450-P450</f>
        <v>-30000</v>
      </c>
      <c r="L450" s="368"/>
      <c r="M450" s="208"/>
      <c r="N450" s="208"/>
      <c r="O450" s="67">
        <v>30000</v>
      </c>
      <c r="P450" s="67">
        <v>30000</v>
      </c>
      <c r="Q450" s="7"/>
      <c r="R450" s="91"/>
      <c r="S450" s="44"/>
      <c r="T450" s="44"/>
      <c r="U450" s="44"/>
    </row>
    <row r="451" spans="1:21" ht="14.45" customHeight="1" x14ac:dyDescent="0.25">
      <c r="A451" s="144" t="s">
        <v>231</v>
      </c>
      <c r="B451" s="148"/>
      <c r="C451" s="554"/>
      <c r="D451" s="168"/>
      <c r="E451" s="168"/>
      <c r="F451" s="168"/>
      <c r="G451" s="194">
        <f t="shared" si="87"/>
        <v>0</v>
      </c>
      <c r="H451" s="221"/>
      <c r="I451" s="221"/>
      <c r="J451" s="221"/>
      <c r="K451" s="164">
        <f t="shared" si="86"/>
        <v>-13000</v>
      </c>
      <c r="L451" s="368"/>
      <c r="M451" s="208"/>
      <c r="N451" s="208"/>
      <c r="O451" s="67">
        <v>13000</v>
      </c>
      <c r="P451" s="67">
        <v>13000</v>
      </c>
      <c r="Q451" s="7"/>
      <c r="R451" s="91"/>
      <c r="S451" s="44"/>
      <c r="T451" s="44"/>
      <c r="U451" s="44"/>
    </row>
    <row r="452" spans="1:21" ht="14.45" customHeight="1" x14ac:dyDescent="0.25">
      <c r="A452" s="144" t="s">
        <v>232</v>
      </c>
      <c r="B452" s="148"/>
      <c r="C452" s="554"/>
      <c r="D452" s="168"/>
      <c r="E452" s="168"/>
      <c r="F452" s="168"/>
      <c r="G452" s="194">
        <f t="shared" si="87"/>
        <v>0</v>
      </c>
      <c r="H452" s="221"/>
      <c r="I452" s="221"/>
      <c r="J452" s="221"/>
      <c r="K452" s="164">
        <f t="shared" si="86"/>
        <v>-40000</v>
      </c>
      <c r="L452" s="368"/>
      <c r="M452" s="208"/>
      <c r="N452" s="208"/>
      <c r="O452" s="67">
        <v>40000</v>
      </c>
      <c r="P452" s="67">
        <v>40000</v>
      </c>
      <c r="Q452" s="7"/>
      <c r="R452" s="91"/>
      <c r="S452" s="44"/>
      <c r="T452" s="44"/>
      <c r="U452" s="44"/>
    </row>
    <row r="453" spans="1:21" ht="14.45" customHeight="1" x14ac:dyDescent="0.25">
      <c r="A453" s="144" t="s">
        <v>233</v>
      </c>
      <c r="B453" s="148"/>
      <c r="C453" s="554"/>
      <c r="D453" s="168"/>
      <c r="E453" s="168"/>
      <c r="F453" s="168"/>
      <c r="G453" s="194">
        <f t="shared" si="87"/>
        <v>0</v>
      </c>
      <c r="H453" s="221"/>
      <c r="I453" s="221"/>
      <c r="J453" s="221"/>
      <c r="K453" s="164">
        <f t="shared" si="86"/>
        <v>-48595</v>
      </c>
      <c r="L453" s="368"/>
      <c r="M453" s="208"/>
      <c r="N453" s="208"/>
      <c r="O453" s="67">
        <v>48595</v>
      </c>
      <c r="P453" s="67">
        <v>48595</v>
      </c>
      <c r="Q453" s="7"/>
      <c r="R453" s="91"/>
      <c r="S453" s="44"/>
      <c r="T453" s="44"/>
      <c r="U453" s="44"/>
    </row>
    <row r="454" spans="1:21" ht="14.45" hidden="1" customHeight="1" x14ac:dyDescent="0.25">
      <c r="A454" s="145" t="s">
        <v>234</v>
      </c>
      <c r="B454" s="148"/>
      <c r="C454" s="554"/>
      <c r="D454" s="169"/>
      <c r="E454" s="169"/>
      <c r="F454" s="169"/>
      <c r="G454" s="194">
        <f t="shared" si="87"/>
        <v>0</v>
      </c>
      <c r="H454" s="218"/>
      <c r="I454" s="218"/>
      <c r="J454" s="218"/>
      <c r="K454" s="164">
        <f t="shared" si="86"/>
        <v>0</v>
      </c>
      <c r="L454" s="364"/>
      <c r="M454" s="105"/>
      <c r="N454" s="105"/>
      <c r="O454" s="67"/>
      <c r="P454" s="67">
        <f>M454+N454+O454</f>
        <v>0</v>
      </c>
      <c r="Q454" s="67"/>
      <c r="R454" s="67"/>
      <c r="S454" s="44"/>
      <c r="T454" s="44"/>
      <c r="U454" s="44"/>
    </row>
    <row r="455" spans="1:21" ht="14.45" hidden="1" customHeight="1" x14ac:dyDescent="0.25">
      <c r="A455" s="145" t="s">
        <v>235</v>
      </c>
      <c r="B455" s="148"/>
      <c r="C455" s="554"/>
      <c r="D455" s="169"/>
      <c r="E455" s="169"/>
      <c r="F455" s="169"/>
      <c r="G455" s="194">
        <f t="shared" si="87"/>
        <v>0</v>
      </c>
      <c r="H455" s="218"/>
      <c r="I455" s="218"/>
      <c r="J455" s="218"/>
      <c r="K455" s="164">
        <f t="shared" si="86"/>
        <v>0</v>
      </c>
      <c r="L455" s="364"/>
      <c r="M455" s="105"/>
      <c r="N455" s="105"/>
      <c r="O455" s="67"/>
      <c r="P455" s="67">
        <f t="shared" ref="P455:P472" si="88">M455+N455+O455</f>
        <v>0</v>
      </c>
      <c r="Q455" s="67"/>
      <c r="R455" s="67"/>
      <c r="S455" s="44"/>
      <c r="T455" s="44"/>
      <c r="U455" s="44"/>
    </row>
    <row r="456" spans="1:21" ht="14.45" hidden="1" customHeight="1" x14ac:dyDescent="0.25">
      <c r="A456" s="145" t="s">
        <v>236</v>
      </c>
      <c r="B456" s="148"/>
      <c r="C456" s="554"/>
      <c r="D456" s="169"/>
      <c r="E456" s="169"/>
      <c r="F456" s="169"/>
      <c r="G456" s="194">
        <f t="shared" si="87"/>
        <v>0</v>
      </c>
      <c r="H456" s="218"/>
      <c r="I456" s="218"/>
      <c r="J456" s="218"/>
      <c r="K456" s="164">
        <f t="shared" si="86"/>
        <v>0</v>
      </c>
      <c r="L456" s="364"/>
      <c r="M456" s="105"/>
      <c r="N456" s="105"/>
      <c r="O456" s="67"/>
      <c r="P456" s="67">
        <f t="shared" si="88"/>
        <v>0</v>
      </c>
      <c r="Q456" s="67"/>
      <c r="R456" s="67"/>
      <c r="S456" s="44"/>
      <c r="T456" s="44"/>
      <c r="U456" s="44"/>
    </row>
    <row r="457" spans="1:21" ht="31.5" hidden="1" customHeight="1" x14ac:dyDescent="0.25">
      <c r="A457" s="145" t="s">
        <v>237</v>
      </c>
      <c r="B457" s="148"/>
      <c r="C457" s="554"/>
      <c r="D457" s="169"/>
      <c r="E457" s="169"/>
      <c r="F457" s="169"/>
      <c r="G457" s="194">
        <f t="shared" si="87"/>
        <v>0</v>
      </c>
      <c r="H457" s="218"/>
      <c r="I457" s="218"/>
      <c r="J457" s="218"/>
      <c r="K457" s="164">
        <f t="shared" si="86"/>
        <v>0</v>
      </c>
      <c r="L457" s="364"/>
      <c r="M457" s="105"/>
      <c r="N457" s="105"/>
      <c r="O457" s="67"/>
      <c r="P457" s="67">
        <f t="shared" si="88"/>
        <v>0</v>
      </c>
      <c r="Q457" s="67"/>
      <c r="R457" s="67"/>
      <c r="S457" s="44"/>
      <c r="T457" s="44"/>
      <c r="U457" s="44"/>
    </row>
    <row r="458" spans="1:21" ht="31.5" hidden="1" customHeight="1" x14ac:dyDescent="0.25">
      <c r="A458" s="145" t="s">
        <v>238</v>
      </c>
      <c r="B458" s="148"/>
      <c r="C458" s="554"/>
      <c r="D458" s="169"/>
      <c r="E458" s="169"/>
      <c r="F458" s="169"/>
      <c r="G458" s="194">
        <f t="shared" si="87"/>
        <v>0</v>
      </c>
      <c r="H458" s="218"/>
      <c r="I458" s="218"/>
      <c r="J458" s="218"/>
      <c r="K458" s="164">
        <f t="shared" si="86"/>
        <v>0</v>
      </c>
      <c r="L458" s="364"/>
      <c r="M458" s="105"/>
      <c r="N458" s="204"/>
      <c r="O458" s="67"/>
      <c r="P458" s="9">
        <f t="shared" si="88"/>
        <v>0</v>
      </c>
      <c r="Q458" s="9"/>
      <c r="R458" s="9"/>
      <c r="S458" s="44"/>
      <c r="T458" s="44"/>
      <c r="U458" s="44"/>
    </row>
    <row r="459" spans="1:21" ht="14.25" hidden="1" customHeight="1" x14ac:dyDescent="0.25">
      <c r="A459" s="145" t="s">
        <v>239</v>
      </c>
      <c r="B459" s="148"/>
      <c r="C459" s="554"/>
      <c r="D459" s="169"/>
      <c r="E459" s="169"/>
      <c r="F459" s="169"/>
      <c r="G459" s="194">
        <f t="shared" si="87"/>
        <v>0</v>
      </c>
      <c r="H459" s="218"/>
      <c r="I459" s="218"/>
      <c r="J459" s="218"/>
      <c r="K459" s="164">
        <f t="shared" si="86"/>
        <v>0</v>
      </c>
      <c r="L459" s="364"/>
      <c r="M459" s="105"/>
      <c r="N459" s="204"/>
      <c r="O459" s="67"/>
      <c r="P459" s="9">
        <f t="shared" si="88"/>
        <v>0</v>
      </c>
      <c r="Q459" s="9"/>
      <c r="R459" s="9"/>
      <c r="S459" s="44"/>
      <c r="T459" s="44"/>
      <c r="U459" s="44"/>
    </row>
    <row r="460" spans="1:21" ht="14.25" hidden="1" customHeight="1" x14ac:dyDescent="0.25">
      <c r="A460" s="145" t="s">
        <v>240</v>
      </c>
      <c r="B460" s="148"/>
      <c r="C460" s="554"/>
      <c r="D460" s="169"/>
      <c r="E460" s="169"/>
      <c r="F460" s="169"/>
      <c r="G460" s="194">
        <f t="shared" si="87"/>
        <v>0</v>
      </c>
      <c r="H460" s="218"/>
      <c r="I460" s="218"/>
      <c r="J460" s="218"/>
      <c r="K460" s="164">
        <f t="shared" si="86"/>
        <v>0</v>
      </c>
      <c r="L460" s="364"/>
      <c r="M460" s="105"/>
      <c r="N460" s="204"/>
      <c r="O460" s="67"/>
      <c r="P460" s="9">
        <f t="shared" si="88"/>
        <v>0</v>
      </c>
      <c r="Q460" s="9"/>
      <c r="R460" s="9"/>
      <c r="S460" s="44"/>
      <c r="T460" s="44"/>
      <c r="U460" s="44"/>
    </row>
    <row r="461" spans="1:21" ht="14.25" hidden="1" customHeight="1" x14ac:dyDescent="0.25">
      <c r="A461" s="145" t="s">
        <v>241</v>
      </c>
      <c r="B461" s="148"/>
      <c r="C461" s="554"/>
      <c r="D461" s="169"/>
      <c r="E461" s="169"/>
      <c r="F461" s="169"/>
      <c r="G461" s="194">
        <f t="shared" si="87"/>
        <v>0</v>
      </c>
      <c r="H461" s="218"/>
      <c r="I461" s="218"/>
      <c r="J461" s="218"/>
      <c r="K461" s="164">
        <f t="shared" si="86"/>
        <v>0</v>
      </c>
      <c r="L461" s="364"/>
      <c r="M461" s="105"/>
      <c r="N461" s="105"/>
      <c r="O461" s="67"/>
      <c r="P461" s="67">
        <f t="shared" si="88"/>
        <v>0</v>
      </c>
      <c r="Q461" s="67"/>
      <c r="R461" s="67"/>
      <c r="S461" s="44"/>
      <c r="T461" s="44"/>
      <c r="U461" s="44"/>
    </row>
    <row r="462" spans="1:21" ht="14.25" hidden="1" customHeight="1" x14ac:dyDescent="0.25">
      <c r="A462" s="145" t="s">
        <v>242</v>
      </c>
      <c r="B462" s="148"/>
      <c r="C462" s="554"/>
      <c r="D462" s="169"/>
      <c r="E462" s="169"/>
      <c r="F462" s="169"/>
      <c r="G462" s="194">
        <f t="shared" si="87"/>
        <v>0</v>
      </c>
      <c r="H462" s="218"/>
      <c r="I462" s="218"/>
      <c r="J462" s="218"/>
      <c r="K462" s="164">
        <f t="shared" si="86"/>
        <v>0</v>
      </c>
      <c r="L462" s="364"/>
      <c r="M462" s="105"/>
      <c r="N462" s="105"/>
      <c r="O462" s="67"/>
      <c r="P462" s="67">
        <f t="shared" si="88"/>
        <v>0</v>
      </c>
      <c r="Q462" s="67"/>
      <c r="R462" s="67"/>
      <c r="S462" s="44"/>
      <c r="T462" s="44"/>
      <c r="U462" s="44"/>
    </row>
    <row r="463" spans="1:21" ht="14.45" hidden="1" customHeight="1" x14ac:dyDescent="0.25">
      <c r="A463" s="145" t="s">
        <v>243</v>
      </c>
      <c r="B463" s="148"/>
      <c r="C463" s="554"/>
      <c r="D463" s="169"/>
      <c r="E463" s="169"/>
      <c r="F463" s="169"/>
      <c r="G463" s="194">
        <f t="shared" si="87"/>
        <v>0</v>
      </c>
      <c r="H463" s="218"/>
      <c r="I463" s="218"/>
      <c r="J463" s="218"/>
      <c r="K463" s="164">
        <f t="shared" si="86"/>
        <v>0</v>
      </c>
      <c r="L463" s="364"/>
      <c r="M463" s="105"/>
      <c r="N463" s="204"/>
      <c r="O463" s="67"/>
      <c r="P463" s="9">
        <f t="shared" si="88"/>
        <v>0</v>
      </c>
      <c r="Q463" s="9"/>
      <c r="R463" s="9"/>
      <c r="S463" s="44"/>
      <c r="T463" s="44"/>
      <c r="U463" s="44"/>
    </row>
    <row r="464" spans="1:21" ht="14.45" hidden="1" customHeight="1" x14ac:dyDescent="0.25">
      <c r="A464" s="145" t="s">
        <v>244</v>
      </c>
      <c r="B464" s="148"/>
      <c r="C464" s="554"/>
      <c r="D464" s="169"/>
      <c r="E464" s="169"/>
      <c r="F464" s="169"/>
      <c r="G464" s="194">
        <f t="shared" si="87"/>
        <v>0</v>
      </c>
      <c r="H464" s="218"/>
      <c r="I464" s="218"/>
      <c r="J464" s="218"/>
      <c r="K464" s="164">
        <f t="shared" si="86"/>
        <v>0</v>
      </c>
      <c r="L464" s="364"/>
      <c r="M464" s="105"/>
      <c r="N464" s="204"/>
      <c r="O464" s="67"/>
      <c r="P464" s="9">
        <f t="shared" si="88"/>
        <v>0</v>
      </c>
      <c r="Q464" s="9"/>
      <c r="R464" s="9"/>
      <c r="S464" s="44"/>
      <c r="T464" s="44"/>
      <c r="U464" s="44"/>
    </row>
    <row r="465" spans="1:23" ht="14.45" customHeight="1" x14ac:dyDescent="0.25">
      <c r="A465" s="145" t="s">
        <v>245</v>
      </c>
      <c r="B465" s="148"/>
      <c r="C465" s="554"/>
      <c r="D465" s="164"/>
      <c r="E465" s="164"/>
      <c r="F465" s="164"/>
      <c r="G465" s="194">
        <f t="shared" si="87"/>
        <v>0</v>
      </c>
      <c r="H465" s="218"/>
      <c r="I465" s="296"/>
      <c r="J465" s="296"/>
      <c r="K465" s="164">
        <f t="shared" si="86"/>
        <v>0</v>
      </c>
      <c r="L465" s="364"/>
      <c r="M465" s="105"/>
      <c r="N465" s="204"/>
      <c r="O465" s="67"/>
      <c r="P465" s="9">
        <f t="shared" si="88"/>
        <v>0</v>
      </c>
      <c r="Q465" s="9"/>
      <c r="R465" s="9"/>
      <c r="S465" s="44">
        <v>0</v>
      </c>
      <c r="T465" s="44">
        <v>0</v>
      </c>
      <c r="U465" s="44">
        <v>221.81</v>
      </c>
    </row>
    <row r="466" spans="1:23" ht="14.45" customHeight="1" x14ac:dyDescent="0.25">
      <c r="A466" s="145" t="s">
        <v>246</v>
      </c>
      <c r="B466" s="148"/>
      <c r="C466" s="554"/>
      <c r="D466" s="164"/>
      <c r="E466" s="164"/>
      <c r="F466" s="254">
        <v>30000</v>
      </c>
      <c r="G466" s="194">
        <f t="shared" si="87"/>
        <v>30000</v>
      </c>
      <c r="H466" s="218"/>
      <c r="I466" s="296"/>
      <c r="J466" s="296"/>
      <c r="K466" s="164">
        <f t="shared" si="86"/>
        <v>30000</v>
      </c>
      <c r="L466" s="364"/>
      <c r="M466" s="105"/>
      <c r="N466" s="204"/>
      <c r="O466" s="67"/>
      <c r="P466" s="9"/>
      <c r="Q466" s="9"/>
      <c r="R466" s="9"/>
      <c r="S466" s="12">
        <v>6000</v>
      </c>
      <c r="T466" s="44">
        <v>30000</v>
      </c>
      <c r="U466" s="44">
        <v>22180</v>
      </c>
    </row>
    <row r="467" spans="1:23" ht="14.45" customHeight="1" x14ac:dyDescent="0.25">
      <c r="A467" s="145" t="s">
        <v>247</v>
      </c>
      <c r="B467" s="148"/>
      <c r="C467" s="554"/>
      <c r="D467" s="169"/>
      <c r="E467" s="169"/>
      <c r="F467" s="280"/>
      <c r="G467" s="194">
        <f t="shared" si="87"/>
        <v>0</v>
      </c>
      <c r="H467" s="218"/>
      <c r="I467" s="296"/>
      <c r="J467" s="296"/>
      <c r="K467" s="164">
        <f t="shared" si="86"/>
        <v>0</v>
      </c>
      <c r="L467" s="364"/>
      <c r="M467" s="105"/>
      <c r="N467" s="204"/>
      <c r="O467" s="67">
        <v>0</v>
      </c>
      <c r="P467" s="9">
        <f t="shared" si="88"/>
        <v>0</v>
      </c>
      <c r="Q467" s="9"/>
      <c r="R467" s="9"/>
      <c r="S467" s="12"/>
      <c r="T467" s="44"/>
      <c r="U467" s="44"/>
    </row>
    <row r="468" spans="1:23" ht="14.45" customHeight="1" x14ac:dyDescent="0.25">
      <c r="A468" s="145" t="s">
        <v>248</v>
      </c>
      <c r="B468" s="148"/>
      <c r="C468" s="554"/>
      <c r="D468" s="164"/>
      <c r="E468" s="164"/>
      <c r="F468" s="254"/>
      <c r="G468" s="194">
        <f t="shared" si="87"/>
        <v>0</v>
      </c>
      <c r="H468" s="218"/>
      <c r="I468" s="296"/>
      <c r="J468" s="296"/>
      <c r="K468" s="164">
        <f t="shared" si="86"/>
        <v>0</v>
      </c>
      <c r="L468" s="364"/>
      <c r="M468" s="105"/>
      <c r="N468" s="204"/>
      <c r="O468" s="67"/>
      <c r="P468" s="9">
        <f t="shared" si="88"/>
        <v>0</v>
      </c>
      <c r="Q468" s="9"/>
      <c r="R468" s="9"/>
      <c r="S468" s="12">
        <v>0</v>
      </c>
      <c r="T468" s="44">
        <v>0</v>
      </c>
      <c r="U468" s="44">
        <v>16650</v>
      </c>
    </row>
    <row r="469" spans="1:23" ht="14.45" customHeight="1" x14ac:dyDescent="0.25">
      <c r="A469" s="145" t="s">
        <v>249</v>
      </c>
      <c r="B469" s="148"/>
      <c r="C469" s="554"/>
      <c r="D469" s="169"/>
      <c r="E469" s="169"/>
      <c r="F469" s="280"/>
      <c r="G469" s="194">
        <f t="shared" si="87"/>
        <v>0</v>
      </c>
      <c r="H469" s="218"/>
      <c r="I469" s="296"/>
      <c r="J469" s="296"/>
      <c r="K469" s="164">
        <f t="shared" si="86"/>
        <v>0</v>
      </c>
      <c r="L469" s="364"/>
      <c r="M469" s="105"/>
      <c r="N469" s="204"/>
      <c r="O469" s="67"/>
      <c r="P469" s="9">
        <f t="shared" si="88"/>
        <v>0</v>
      </c>
      <c r="Q469" s="9"/>
      <c r="R469" s="9"/>
      <c r="S469" s="12"/>
      <c r="T469" s="44"/>
      <c r="U469" s="44"/>
    </row>
    <row r="470" spans="1:23" ht="14.45" customHeight="1" x14ac:dyDescent="0.25">
      <c r="A470" s="144" t="s">
        <v>250</v>
      </c>
      <c r="B470" s="148"/>
      <c r="C470" s="554"/>
      <c r="D470" s="164">
        <v>0</v>
      </c>
      <c r="E470" s="164"/>
      <c r="F470" s="254">
        <v>58161</v>
      </c>
      <c r="G470" s="194">
        <f t="shared" si="87"/>
        <v>58161</v>
      </c>
      <c r="H470" s="218"/>
      <c r="I470" s="296"/>
      <c r="J470" s="296"/>
      <c r="K470" s="164">
        <f>+G470-P470</f>
        <v>58161</v>
      </c>
      <c r="L470" s="364"/>
      <c r="M470" s="105"/>
      <c r="N470" s="105"/>
      <c r="O470" s="9"/>
      <c r="P470" s="9">
        <f t="shared" si="88"/>
        <v>0</v>
      </c>
      <c r="Q470" s="9"/>
      <c r="R470" s="9"/>
      <c r="S470" s="12">
        <v>0</v>
      </c>
      <c r="T470" s="44">
        <v>0</v>
      </c>
      <c r="U470" s="44">
        <v>6351.75</v>
      </c>
      <c r="W470" s="343" t="s">
        <v>460</v>
      </c>
    </row>
    <row r="471" spans="1:23" ht="14.45" customHeight="1" x14ac:dyDescent="0.25">
      <c r="A471" s="145" t="s">
        <v>434</v>
      </c>
      <c r="B471" s="148"/>
      <c r="C471" s="554"/>
      <c r="D471" s="164"/>
      <c r="E471" s="164"/>
      <c r="F471" s="254">
        <v>600</v>
      </c>
      <c r="G471" s="194">
        <f t="shared" si="87"/>
        <v>600</v>
      </c>
      <c r="H471" s="218"/>
      <c r="I471" s="296"/>
      <c r="J471" s="296"/>
      <c r="K471" s="164">
        <f>+G471-P471</f>
        <v>600</v>
      </c>
      <c r="L471" s="364"/>
      <c r="M471" s="105"/>
      <c r="N471" s="105"/>
      <c r="O471" s="9"/>
      <c r="P471" s="9"/>
      <c r="Q471" s="9"/>
      <c r="R471" s="9"/>
      <c r="S471" s="12"/>
      <c r="T471" s="44"/>
      <c r="U471" s="44"/>
    </row>
    <row r="472" spans="1:23" ht="14.45" hidden="1" customHeight="1" x14ac:dyDescent="0.25">
      <c r="A472" s="143" t="s">
        <v>251</v>
      </c>
      <c r="B472" s="148"/>
      <c r="C472" s="148"/>
      <c r="D472" s="166"/>
      <c r="E472" s="166"/>
      <c r="F472" s="166"/>
      <c r="G472" s="195"/>
      <c r="H472" s="219"/>
      <c r="I472" s="219"/>
      <c r="J472" s="219"/>
      <c r="K472" s="219"/>
      <c r="L472" s="373"/>
      <c r="M472" s="105"/>
      <c r="N472" s="105"/>
      <c r="O472" s="9"/>
      <c r="P472" s="9">
        <f t="shared" si="88"/>
        <v>0</v>
      </c>
      <c r="Q472" s="9"/>
      <c r="R472" s="9"/>
      <c r="S472" s="12">
        <v>0</v>
      </c>
      <c r="T472" s="44">
        <v>5017</v>
      </c>
      <c r="U472" s="44">
        <v>2950.22</v>
      </c>
    </row>
    <row r="473" spans="1:23" ht="14.45" customHeight="1" x14ac:dyDescent="0.25">
      <c r="A473" s="393" t="s">
        <v>252</v>
      </c>
      <c r="B473" s="293"/>
      <c r="C473" s="293"/>
      <c r="D473" s="176">
        <f>SUM(D449:D472)</f>
        <v>0</v>
      </c>
      <c r="E473" s="176">
        <f>SUM(E449:E472)</f>
        <v>0</v>
      </c>
      <c r="F473" s="275">
        <f>SUM(F449:F472)</f>
        <v>88761</v>
      </c>
      <c r="G473" s="176">
        <f>SUM(G449:G472)</f>
        <v>88761</v>
      </c>
      <c r="H473" s="224"/>
      <c r="I473" s="224"/>
      <c r="J473" s="224"/>
      <c r="K473" s="224">
        <f>SUM(K449:K472)</f>
        <v>-42834</v>
      </c>
      <c r="L473" s="365"/>
      <c r="M473" s="205">
        <f>SUM(M449:M472)</f>
        <v>0</v>
      </c>
      <c r="N473" s="205">
        <f t="shared" ref="N473:O473" si="89">SUM(N449:N472)</f>
        <v>0</v>
      </c>
      <c r="O473" s="45">
        <f t="shared" si="89"/>
        <v>131595</v>
      </c>
      <c r="P473" s="45">
        <f>SUM(M473:O473)</f>
        <v>131595</v>
      </c>
      <c r="Q473" s="60">
        <f>P473/P49</f>
        <v>1.9924266740956521E-2</v>
      </c>
      <c r="R473" s="48">
        <f>P473-S473</f>
        <v>125595</v>
      </c>
      <c r="S473" s="32">
        <v>6000</v>
      </c>
      <c r="T473" s="49">
        <v>35017</v>
      </c>
      <c r="U473" s="49">
        <v>48353.78</v>
      </c>
      <c r="W473" s="343" t="s">
        <v>435</v>
      </c>
    </row>
    <row r="474" spans="1:23" ht="15" customHeight="1" x14ac:dyDescent="0.25">
      <c r="A474" s="61"/>
      <c r="B474" s="69"/>
      <c r="C474" s="69"/>
      <c r="D474" s="178"/>
      <c r="E474" s="178"/>
      <c r="F474" s="178"/>
      <c r="G474" s="178"/>
      <c r="H474" s="215"/>
      <c r="I474" s="212"/>
      <c r="J474" s="212"/>
      <c r="K474" s="212"/>
      <c r="L474" s="328"/>
      <c r="M474" s="51"/>
      <c r="N474" s="51"/>
      <c r="O474" s="51"/>
      <c r="P474" s="61"/>
      <c r="Q474" s="61"/>
      <c r="R474" s="68"/>
      <c r="S474" s="69"/>
      <c r="T474" s="69"/>
      <c r="U474" s="69"/>
    </row>
    <row r="475" spans="1:23" ht="28.5" customHeight="1" x14ac:dyDescent="0.25">
      <c r="A475" s="146" t="s">
        <v>253</v>
      </c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326"/>
      <c r="M475" s="305"/>
      <c r="N475" s="78"/>
      <c r="O475" s="78"/>
      <c r="P475" s="53"/>
      <c r="Q475" s="53"/>
      <c r="R475" s="147"/>
      <c r="S475" s="147"/>
      <c r="T475" s="54"/>
      <c r="U475" s="66"/>
      <c r="W475" s="390" t="s">
        <v>458</v>
      </c>
    </row>
    <row r="476" spans="1:23" ht="14.45" customHeight="1" x14ac:dyDescent="0.25">
      <c r="A476" s="148" t="s">
        <v>156</v>
      </c>
      <c r="B476" s="148"/>
      <c r="C476" s="148"/>
      <c r="D476" s="181"/>
      <c r="E476" s="181">
        <v>15000</v>
      </c>
      <c r="F476" s="181"/>
      <c r="G476" s="194">
        <f t="shared" ref="G476:G496" si="90">+F476+E476+D476</f>
        <v>15000</v>
      </c>
      <c r="H476" s="221"/>
      <c r="I476" s="221"/>
      <c r="J476" s="221"/>
      <c r="K476" s="164">
        <f t="shared" ref="K476:K493" si="91">+G476-P476</f>
        <v>-5000</v>
      </c>
      <c r="L476" s="368"/>
      <c r="M476" s="105"/>
      <c r="N476" s="204">
        <v>20000</v>
      </c>
      <c r="O476" s="9"/>
      <c r="P476" s="67">
        <f t="shared" ref="P476:P498" si="92">M476+N476+O476</f>
        <v>20000</v>
      </c>
      <c r="Q476" s="9"/>
      <c r="R476" s="9"/>
      <c r="S476" s="12">
        <v>15000</v>
      </c>
      <c r="T476" s="44"/>
      <c r="U476" s="44"/>
    </row>
    <row r="477" spans="1:23" ht="14.45" customHeight="1" x14ac:dyDescent="0.25">
      <c r="A477" s="148" t="s">
        <v>55</v>
      </c>
      <c r="B477" s="148"/>
      <c r="C477" s="148"/>
      <c r="D477" s="181"/>
      <c r="E477" s="181"/>
      <c r="F477" s="181"/>
      <c r="G477" s="194">
        <f t="shared" si="90"/>
        <v>0</v>
      </c>
      <c r="H477" s="221"/>
      <c r="I477" s="221"/>
      <c r="J477" s="221"/>
      <c r="K477" s="164">
        <f t="shared" si="91"/>
        <v>0</v>
      </c>
      <c r="L477" s="368"/>
      <c r="M477" s="105"/>
      <c r="N477" s="204"/>
      <c r="O477" s="9"/>
      <c r="P477" s="67">
        <f t="shared" si="92"/>
        <v>0</v>
      </c>
      <c r="Q477" s="9"/>
      <c r="R477" s="9"/>
      <c r="S477" s="12">
        <v>0</v>
      </c>
      <c r="T477" s="44">
        <v>0</v>
      </c>
      <c r="U477" s="44">
        <v>0</v>
      </c>
    </row>
    <row r="478" spans="1:23" ht="14.45" customHeight="1" x14ac:dyDescent="0.25">
      <c r="A478" s="148" t="s">
        <v>84</v>
      </c>
      <c r="B478" s="148"/>
      <c r="C478" s="148"/>
      <c r="D478" s="181"/>
      <c r="E478" s="181"/>
      <c r="F478" s="181"/>
      <c r="G478" s="194">
        <f t="shared" si="90"/>
        <v>0</v>
      </c>
      <c r="H478" s="221"/>
      <c r="I478" s="221"/>
      <c r="J478" s="221"/>
      <c r="K478" s="164">
        <f t="shared" si="91"/>
        <v>0</v>
      </c>
      <c r="L478" s="368"/>
      <c r="M478" s="105"/>
      <c r="N478" s="204"/>
      <c r="O478" s="9"/>
      <c r="P478" s="67">
        <f t="shared" si="92"/>
        <v>0</v>
      </c>
      <c r="Q478" s="9"/>
      <c r="R478" s="9"/>
      <c r="S478" s="12">
        <v>0</v>
      </c>
      <c r="T478" s="44">
        <v>0</v>
      </c>
      <c r="U478" s="44">
        <v>0</v>
      </c>
    </row>
    <row r="479" spans="1:23" ht="14.45" customHeight="1" x14ac:dyDescent="0.25">
      <c r="A479" s="148" t="s">
        <v>57</v>
      </c>
      <c r="B479" s="148"/>
      <c r="C479" s="148"/>
      <c r="D479" s="181"/>
      <c r="E479" s="181"/>
      <c r="F479" s="181"/>
      <c r="G479" s="194">
        <f t="shared" si="90"/>
        <v>0</v>
      </c>
      <c r="H479" s="221"/>
      <c r="I479" s="221"/>
      <c r="J479" s="221"/>
      <c r="K479" s="164">
        <f t="shared" si="91"/>
        <v>0</v>
      </c>
      <c r="L479" s="368"/>
      <c r="M479" s="105"/>
      <c r="N479" s="204"/>
      <c r="O479" s="9"/>
      <c r="P479" s="67">
        <f t="shared" si="92"/>
        <v>0</v>
      </c>
      <c r="Q479" s="9"/>
      <c r="R479" s="9"/>
      <c r="S479" s="12">
        <v>0</v>
      </c>
      <c r="T479" s="44">
        <v>0</v>
      </c>
      <c r="U479" s="44">
        <v>0</v>
      </c>
    </row>
    <row r="480" spans="1:23" ht="14.45" customHeight="1" x14ac:dyDescent="0.25">
      <c r="A480" s="144" t="s">
        <v>59</v>
      </c>
      <c r="B480" s="148"/>
      <c r="C480" s="554"/>
      <c r="D480" s="181"/>
      <c r="E480" s="181"/>
      <c r="F480" s="181"/>
      <c r="G480" s="194">
        <f t="shared" si="90"/>
        <v>0</v>
      </c>
      <c r="H480" s="221"/>
      <c r="I480" s="221"/>
      <c r="J480" s="221"/>
      <c r="K480" s="164">
        <f t="shared" si="91"/>
        <v>0</v>
      </c>
      <c r="L480" s="368"/>
      <c r="M480" s="105"/>
      <c r="N480" s="204"/>
      <c r="O480" s="9"/>
      <c r="P480" s="67">
        <f t="shared" si="92"/>
        <v>0</v>
      </c>
      <c r="Q480" s="9"/>
      <c r="R480" s="9"/>
      <c r="S480" s="12">
        <v>0</v>
      </c>
      <c r="T480" s="44">
        <v>0</v>
      </c>
      <c r="U480" s="44">
        <v>0</v>
      </c>
    </row>
    <row r="481" spans="1:23" ht="14.45" customHeight="1" x14ac:dyDescent="0.25">
      <c r="A481" s="145" t="s">
        <v>254</v>
      </c>
      <c r="B481" s="148"/>
      <c r="C481" s="554"/>
      <c r="D481" s="169"/>
      <c r="E481" s="169">
        <v>200</v>
      </c>
      <c r="F481" s="169"/>
      <c r="G481" s="194">
        <f t="shared" si="90"/>
        <v>200</v>
      </c>
      <c r="H481" s="218"/>
      <c r="I481" s="218"/>
      <c r="J481" s="218"/>
      <c r="K481" s="164">
        <f t="shared" si="91"/>
        <v>-1800</v>
      </c>
      <c r="L481" s="364"/>
      <c r="M481" s="105"/>
      <c r="N481" s="204">
        <v>2000</v>
      </c>
      <c r="O481" s="9"/>
      <c r="P481" s="67">
        <f t="shared" si="92"/>
        <v>2000</v>
      </c>
      <c r="Q481" s="9"/>
      <c r="R481" s="9"/>
      <c r="S481" s="12"/>
      <c r="T481" s="44"/>
      <c r="U481" s="44"/>
    </row>
    <row r="482" spans="1:23" ht="15" hidden="1" customHeight="1" x14ac:dyDescent="0.25">
      <c r="K482" s="164">
        <f t="shared" si="91"/>
        <v>0</v>
      </c>
    </row>
    <row r="483" spans="1:23" ht="15" hidden="1" customHeight="1" x14ac:dyDescent="0.25">
      <c r="K483" s="164">
        <f t="shared" si="91"/>
        <v>0</v>
      </c>
    </row>
    <row r="484" spans="1:23" ht="15" hidden="1" customHeight="1" x14ac:dyDescent="0.25">
      <c r="K484" s="164">
        <f t="shared" si="91"/>
        <v>0</v>
      </c>
    </row>
    <row r="485" spans="1:23" ht="15" hidden="1" customHeight="1" x14ac:dyDescent="0.25">
      <c r="K485" s="164">
        <f t="shared" si="91"/>
        <v>0</v>
      </c>
    </row>
    <row r="486" spans="1:23" ht="14.45" customHeight="1" x14ac:dyDescent="0.25">
      <c r="A486" s="286" t="s">
        <v>102</v>
      </c>
      <c r="B486" s="293"/>
      <c r="C486" s="554"/>
      <c r="D486" s="169"/>
      <c r="E486" s="280">
        <v>1500</v>
      </c>
      <c r="F486" s="169"/>
      <c r="G486" s="194">
        <f t="shared" si="90"/>
        <v>1500</v>
      </c>
      <c r="H486" s="218"/>
      <c r="I486" s="218"/>
      <c r="J486" s="218"/>
      <c r="K486" s="164">
        <f t="shared" si="91"/>
        <v>1500</v>
      </c>
      <c r="L486" s="364"/>
      <c r="M486" s="105"/>
      <c r="N486" s="105"/>
      <c r="O486" s="9"/>
      <c r="P486" s="67"/>
      <c r="Q486" s="9"/>
      <c r="R486" s="9"/>
      <c r="S486" s="12"/>
      <c r="T486" s="44"/>
      <c r="U486" s="44"/>
    </row>
    <row r="487" spans="1:23" ht="14.45" customHeight="1" x14ac:dyDescent="0.25">
      <c r="A487" s="286" t="s">
        <v>79</v>
      </c>
      <c r="B487" s="148"/>
      <c r="C487" s="554"/>
      <c r="D487" s="169"/>
      <c r="E487" s="280">
        <v>500</v>
      </c>
      <c r="F487" s="169"/>
      <c r="G487" s="194">
        <f t="shared" si="90"/>
        <v>500</v>
      </c>
      <c r="H487" s="218"/>
      <c r="I487" s="218"/>
      <c r="J487" s="218"/>
      <c r="K487" s="164">
        <f t="shared" si="91"/>
        <v>500</v>
      </c>
      <c r="L487" s="364"/>
      <c r="M487" s="105"/>
      <c r="N487" s="105"/>
      <c r="O487" s="9"/>
      <c r="P487" s="67"/>
      <c r="Q487" s="9"/>
      <c r="R487" s="9"/>
      <c r="S487" s="12"/>
      <c r="T487" s="44"/>
      <c r="U487" s="44"/>
    </row>
    <row r="488" spans="1:23" ht="14.45" customHeight="1" x14ac:dyDescent="0.25">
      <c r="A488" s="286" t="s">
        <v>167</v>
      </c>
      <c r="B488" s="148"/>
      <c r="C488" s="554"/>
      <c r="D488" s="169"/>
      <c r="E488" s="280">
        <v>1500</v>
      </c>
      <c r="F488" s="169"/>
      <c r="G488" s="194">
        <f t="shared" si="90"/>
        <v>1500</v>
      </c>
      <c r="H488" s="218"/>
      <c r="I488" s="218"/>
      <c r="J488" s="218"/>
      <c r="K488" s="164">
        <f t="shared" si="91"/>
        <v>1500</v>
      </c>
      <c r="L488" s="364"/>
      <c r="M488" s="105"/>
      <c r="N488" s="105"/>
      <c r="O488" s="9"/>
      <c r="P488" s="67"/>
      <c r="Q488" s="9"/>
      <c r="R488" s="9"/>
      <c r="S488" s="12"/>
      <c r="T488" s="44"/>
      <c r="U488" s="44"/>
    </row>
    <row r="489" spans="1:23" ht="14.45" customHeight="1" x14ac:dyDescent="0.25">
      <c r="A489" s="145" t="s">
        <v>256</v>
      </c>
      <c r="B489" s="148"/>
      <c r="C489" s="554"/>
      <c r="D489" s="169"/>
      <c r="E489" s="169">
        <v>500</v>
      </c>
      <c r="F489" s="169"/>
      <c r="G489" s="194">
        <f t="shared" si="90"/>
        <v>500</v>
      </c>
      <c r="H489" s="218"/>
      <c r="I489" s="218"/>
      <c r="J489" s="218"/>
      <c r="K489" s="164">
        <f t="shared" si="91"/>
        <v>-100</v>
      </c>
      <c r="L489" s="364"/>
      <c r="M489" s="105"/>
      <c r="N489" s="105">
        <v>600</v>
      </c>
      <c r="O489" s="9"/>
      <c r="P489" s="67">
        <f>M489+N489+O489</f>
        <v>600</v>
      </c>
      <c r="Q489" s="9"/>
      <c r="R489" s="9"/>
      <c r="S489" s="12"/>
      <c r="T489" s="44"/>
      <c r="U489" s="44"/>
    </row>
    <row r="490" spans="1:23" ht="14.45" customHeight="1" x14ac:dyDescent="0.25">
      <c r="A490" s="145" t="s">
        <v>257</v>
      </c>
      <c r="B490" s="148"/>
      <c r="C490" s="554"/>
      <c r="D490" s="169"/>
      <c r="E490" s="169">
        <v>0</v>
      </c>
      <c r="F490" s="169"/>
      <c r="G490" s="194">
        <f t="shared" si="90"/>
        <v>0</v>
      </c>
      <c r="H490" s="218"/>
      <c r="I490" s="218"/>
      <c r="J490" s="218"/>
      <c r="K490" s="164">
        <f t="shared" si="91"/>
        <v>-900</v>
      </c>
      <c r="L490" s="364"/>
      <c r="M490" s="105"/>
      <c r="N490" s="105">
        <v>900</v>
      </c>
      <c r="O490" s="9"/>
      <c r="P490" s="67">
        <f>M490+N490+O490</f>
        <v>900</v>
      </c>
      <c r="Q490" s="9"/>
      <c r="R490" s="9"/>
      <c r="S490" s="12"/>
      <c r="T490" s="44"/>
      <c r="U490" s="44"/>
    </row>
    <row r="491" spans="1:23" ht="14.45" customHeight="1" x14ac:dyDescent="0.25">
      <c r="A491" s="145" t="s">
        <v>172</v>
      </c>
      <c r="B491" s="148"/>
      <c r="C491" s="554"/>
      <c r="D491" s="169"/>
      <c r="E491" s="169">
        <v>540</v>
      </c>
      <c r="F491" s="169"/>
      <c r="G491" s="194">
        <f t="shared" si="90"/>
        <v>540</v>
      </c>
      <c r="H491" s="218"/>
      <c r="I491" s="218"/>
      <c r="J491" s="218"/>
      <c r="K491" s="164">
        <f t="shared" si="91"/>
        <v>0</v>
      </c>
      <c r="L491" s="364"/>
      <c r="M491" s="105"/>
      <c r="N491" s="105">
        <v>540</v>
      </c>
      <c r="O491" s="9"/>
      <c r="P491" s="67">
        <f t="shared" si="92"/>
        <v>540</v>
      </c>
      <c r="Q491" s="9"/>
      <c r="R491" s="9"/>
      <c r="S491" s="12"/>
      <c r="T491" s="44"/>
      <c r="U491" s="44"/>
    </row>
    <row r="492" spans="1:23" ht="14.45" customHeight="1" x14ac:dyDescent="0.25">
      <c r="A492" s="144" t="s">
        <v>439</v>
      </c>
      <c r="B492" s="148"/>
      <c r="C492" s="554"/>
      <c r="D492" s="168"/>
      <c r="E492" s="168">
        <v>5000</v>
      </c>
      <c r="F492" s="168"/>
      <c r="G492" s="194">
        <v>5000</v>
      </c>
      <c r="H492" s="221"/>
      <c r="I492" s="221"/>
      <c r="J492" s="221"/>
      <c r="K492" s="164">
        <f>+G492-P492</f>
        <v>-5415</v>
      </c>
      <c r="L492" s="368"/>
      <c r="M492" s="105"/>
      <c r="N492" s="204">
        <v>10415</v>
      </c>
      <c r="O492" s="9"/>
      <c r="P492" s="67">
        <f t="shared" si="92"/>
        <v>10415</v>
      </c>
      <c r="Q492" s="9"/>
      <c r="R492" s="9"/>
      <c r="S492" s="12"/>
      <c r="T492" s="44"/>
      <c r="U492" s="44"/>
    </row>
    <row r="493" spans="1:23" ht="14.25" customHeight="1" x14ac:dyDescent="0.25">
      <c r="A493" s="573" t="s">
        <v>438</v>
      </c>
      <c r="B493" s="148"/>
      <c r="C493" s="554"/>
      <c r="D493" s="168"/>
      <c r="E493" s="168">
        <f>50000+28600+27465+50000</f>
        <v>156065</v>
      </c>
      <c r="F493" s="499">
        <f>1500+2535</f>
        <v>4035</v>
      </c>
      <c r="G493" s="194">
        <f t="shared" si="90"/>
        <v>160100</v>
      </c>
      <c r="H493" s="221"/>
      <c r="I493" s="221"/>
      <c r="J493" s="221"/>
      <c r="K493" s="164">
        <f t="shared" si="91"/>
        <v>80054</v>
      </c>
      <c r="L493" s="368"/>
      <c r="M493" s="105"/>
      <c r="N493" s="204">
        <v>80046</v>
      </c>
      <c r="O493" s="9"/>
      <c r="P493" s="67">
        <f t="shared" si="92"/>
        <v>80046</v>
      </c>
      <c r="Q493" s="9"/>
      <c r="R493" s="9"/>
      <c r="S493" s="12">
        <v>69239</v>
      </c>
      <c r="T493" s="44"/>
      <c r="U493" s="44"/>
    </row>
    <row r="494" spans="1:23" ht="14.45" hidden="1" customHeight="1" x14ac:dyDescent="0.25">
      <c r="A494" s="465" t="s">
        <v>491</v>
      </c>
      <c r="B494" s="148"/>
      <c r="C494" s="554"/>
      <c r="D494" s="168"/>
      <c r="E494" s="280">
        <f>0*(30000-1400)</f>
        <v>0</v>
      </c>
      <c r="F494" s="431">
        <f>0*1500</f>
        <v>0</v>
      </c>
      <c r="G494" s="194">
        <f t="shared" si="90"/>
        <v>0</v>
      </c>
      <c r="H494" s="221"/>
      <c r="I494" s="221"/>
      <c r="J494" s="221"/>
      <c r="K494" s="221"/>
      <c r="L494" s="368"/>
      <c r="M494" s="105"/>
      <c r="N494" s="204"/>
      <c r="O494" s="9"/>
      <c r="P494" s="67"/>
      <c r="Q494" s="9"/>
      <c r="R494" s="9"/>
      <c r="S494" s="12"/>
      <c r="T494" s="44"/>
      <c r="U494" s="44"/>
      <c r="W494" s="343" t="s">
        <v>437</v>
      </c>
    </row>
    <row r="495" spans="1:23" ht="14.45" hidden="1" customHeight="1" x14ac:dyDescent="0.25">
      <c r="A495" s="465" t="s">
        <v>436</v>
      </c>
      <c r="B495" s="148"/>
      <c r="C495" s="554"/>
      <c r="D495" s="168"/>
      <c r="E495" s="280">
        <f>0*(30000-2535)</f>
        <v>0</v>
      </c>
      <c r="F495" s="431">
        <f>0*2535</f>
        <v>0</v>
      </c>
      <c r="G495" s="194">
        <f t="shared" si="90"/>
        <v>0</v>
      </c>
      <c r="H495" s="221"/>
      <c r="I495" s="221"/>
      <c r="J495" s="221"/>
      <c r="K495" s="221"/>
      <c r="L495" s="368"/>
      <c r="M495" s="105"/>
      <c r="N495" s="204"/>
      <c r="O495" s="9"/>
      <c r="P495" s="67"/>
      <c r="Q495" s="9"/>
      <c r="R495" s="9"/>
      <c r="S495" s="12"/>
      <c r="T495" s="44"/>
      <c r="U495" s="44"/>
      <c r="W495" s="343" t="s">
        <v>437</v>
      </c>
    </row>
    <row r="496" spans="1:23" ht="14.45" hidden="1" customHeight="1" x14ac:dyDescent="0.25">
      <c r="A496" s="465" t="s">
        <v>449</v>
      </c>
      <c r="B496" s="148"/>
      <c r="C496" s="554"/>
      <c r="D496" s="168"/>
      <c r="E496" s="280">
        <f>50000*0</f>
        <v>0</v>
      </c>
      <c r="F496" s="168"/>
      <c r="G496" s="194">
        <f t="shared" si="90"/>
        <v>0</v>
      </c>
      <c r="H496" s="221"/>
      <c r="I496" s="221"/>
      <c r="J496" s="221"/>
      <c r="K496" s="221"/>
      <c r="L496" s="368"/>
      <c r="M496" s="105"/>
      <c r="N496" s="204"/>
      <c r="O496" s="9"/>
      <c r="P496" s="67"/>
      <c r="Q496" s="9"/>
      <c r="R496" s="9"/>
      <c r="S496" s="12"/>
      <c r="T496" s="44"/>
      <c r="U496" s="44"/>
      <c r="W496" s="343" t="s">
        <v>437</v>
      </c>
    </row>
    <row r="497" spans="1:23" ht="14.45" hidden="1" customHeight="1" x14ac:dyDescent="0.25">
      <c r="A497" s="144"/>
      <c r="B497" s="148"/>
      <c r="C497" s="554"/>
      <c r="D497" s="168"/>
      <c r="E497" s="168"/>
      <c r="F497" s="168"/>
      <c r="G497" s="194"/>
      <c r="H497" s="221"/>
      <c r="I497" s="238"/>
      <c r="J497" s="238"/>
      <c r="K497" s="238"/>
      <c r="L497" s="329"/>
      <c r="M497" s="105"/>
      <c r="N497" s="204"/>
      <c r="O497" s="9"/>
      <c r="P497" s="67"/>
      <c r="Q497" s="9"/>
      <c r="R497" s="9"/>
      <c r="S497" s="12"/>
      <c r="T497" s="44"/>
      <c r="U497" s="44"/>
    </row>
    <row r="498" spans="1:23" ht="14.45" hidden="1" customHeight="1" x14ac:dyDescent="0.25">
      <c r="A498" s="145" t="s">
        <v>258</v>
      </c>
      <c r="B498" s="148"/>
      <c r="C498" s="554"/>
      <c r="D498" s="164"/>
      <c r="E498" s="164"/>
      <c r="F498" s="164"/>
      <c r="G498" s="194"/>
      <c r="H498" s="218"/>
      <c r="I498" s="234"/>
      <c r="J498" s="234"/>
      <c r="K498" s="234"/>
      <c r="L498" s="319"/>
      <c r="M498" s="105"/>
      <c r="N498" s="105"/>
      <c r="O498" s="9"/>
      <c r="P498" s="9">
        <f t="shared" si="92"/>
        <v>0</v>
      </c>
      <c r="Q498" s="9"/>
      <c r="R498" s="9"/>
      <c r="S498" s="12">
        <v>0</v>
      </c>
      <c r="T498" s="44">
        <v>0</v>
      </c>
      <c r="U498" s="44">
        <v>0</v>
      </c>
    </row>
    <row r="499" spans="1:23" ht="15" customHeight="1" x14ac:dyDescent="0.25">
      <c r="A499" s="140" t="s">
        <v>259</v>
      </c>
      <c r="B499" s="293"/>
      <c r="C499" s="560"/>
      <c r="D499" s="176">
        <f>SUM(D476:D498)</f>
        <v>0</v>
      </c>
      <c r="E499" s="176">
        <f>SUM(E476:E498)</f>
        <v>180805</v>
      </c>
      <c r="F499" s="176">
        <f>SUM(F476:F498)</f>
        <v>4035</v>
      </c>
      <c r="G499" s="176">
        <f>SUM(G476:G498)</f>
        <v>184840</v>
      </c>
      <c r="H499" s="224"/>
      <c r="I499" s="237"/>
      <c r="J499" s="224"/>
      <c r="K499" s="237">
        <f>SUM(K476:K498)</f>
        <v>70339</v>
      </c>
      <c r="L499" s="327"/>
      <c r="M499" s="176">
        <f>SUM(M476:M498)</f>
        <v>0</v>
      </c>
      <c r="N499" s="176">
        <f>SUM(N476:N498)</f>
        <v>114501</v>
      </c>
      <c r="O499" s="176">
        <f>SUM(O476:O498)</f>
        <v>0</v>
      </c>
      <c r="P499" s="176">
        <f>SUM(P476:P498)</f>
        <v>114501</v>
      </c>
      <c r="Q499" s="60">
        <f>P499/P49</f>
        <v>1.7336133334140833E-2</v>
      </c>
      <c r="R499" s="48">
        <f>P499-S499</f>
        <v>-8020510</v>
      </c>
      <c r="S499" s="32">
        <f>SUM(S294:S498)</f>
        <v>8135011</v>
      </c>
      <c r="T499" s="49">
        <v>0</v>
      </c>
      <c r="U499" s="49">
        <v>0</v>
      </c>
    </row>
    <row r="500" spans="1:23" ht="9.9499999999999993" customHeight="1" x14ac:dyDescent="0.25">
      <c r="A500" s="61"/>
      <c r="B500" s="69"/>
      <c r="C500" s="69"/>
      <c r="D500" s="276"/>
      <c r="E500" s="276"/>
      <c r="F500" s="276"/>
      <c r="G500" s="276"/>
      <c r="H500" s="215"/>
      <c r="I500" s="212"/>
      <c r="J500" s="212"/>
      <c r="K500" s="212"/>
      <c r="L500" s="328"/>
      <c r="M500" s="51"/>
      <c r="N500" s="51"/>
      <c r="O500" s="51"/>
      <c r="P500" s="61"/>
      <c r="Q500" s="61"/>
      <c r="R500" s="68"/>
      <c r="S500" s="69"/>
      <c r="T500" s="69"/>
      <c r="U500" s="69"/>
    </row>
    <row r="501" spans="1:23" s="593" customFormat="1" ht="41.1" customHeight="1" x14ac:dyDescent="0.25">
      <c r="A501" s="583" t="s">
        <v>260</v>
      </c>
      <c r="B501" s="583"/>
      <c r="C501" s="583"/>
      <c r="D501" s="584">
        <f>D347+D379+D397+D408+D417+D446+D473+D499+D356</f>
        <v>0</v>
      </c>
      <c r="E501" s="584">
        <f>E347+E379+E397+E408+E417+E446+E473+E499+E356</f>
        <v>550446</v>
      </c>
      <c r="F501" s="584">
        <f>F347+F379+F397+F408+F417+F446+F473+F499+F356</f>
        <v>95836</v>
      </c>
      <c r="G501" s="584">
        <f>G347+G379+G397+G408+G417+G446+G473+G499+G356</f>
        <v>646282</v>
      </c>
      <c r="H501" s="585"/>
      <c r="I501" s="586">
        <f>+G501/G$786</f>
        <v>0.11665178566620953</v>
      </c>
      <c r="J501" s="585"/>
      <c r="K501" s="584">
        <f>K347+K379+K397+K408+K417+K446+K473+K499+K356</f>
        <v>252903</v>
      </c>
      <c r="L501" s="587"/>
      <c r="M501" s="584">
        <f>M347+M379+M397+M408+M417+M446+M473+M499+M356</f>
        <v>23790</v>
      </c>
      <c r="N501" s="584">
        <f>N347+N379+N397+N408+N417+N446+N473+N499+N356</f>
        <v>232994</v>
      </c>
      <c r="O501" s="584">
        <f>O347+O379+O397+O408+O417+O446+O473+O499+O356</f>
        <v>136595</v>
      </c>
      <c r="P501" s="584">
        <f>P347+P379+P397+P408+P417+P446+P473+P499+P356</f>
        <v>393379</v>
      </c>
      <c r="Q501" s="590">
        <f>P501/P49</f>
        <v>5.9559923449148795E-2</v>
      </c>
      <c r="R501" s="591">
        <f>P501-S501</f>
        <v>-12022279</v>
      </c>
      <c r="S501" s="596">
        <f>S347+S379+S397+S408+S417+S446+S473+S499</f>
        <v>12415658</v>
      </c>
      <c r="T501" s="597">
        <f>T347+T379+T397+T408+T417+T446+T473+T499</f>
        <v>625943.41</v>
      </c>
      <c r="U501" s="597">
        <f>U347+U379+U397+U408+U417+U446+U473+U499</f>
        <v>542356.92000000004</v>
      </c>
    </row>
    <row r="502" spans="1:23" ht="30" customHeight="1" x14ac:dyDescent="0.25">
      <c r="A502" s="69"/>
      <c r="B502" s="69"/>
      <c r="C502" s="69"/>
      <c r="D502" s="402"/>
      <c r="E502" s="402"/>
      <c r="F502" s="402"/>
      <c r="G502" s="402"/>
      <c r="H502" s="403"/>
      <c r="I502" s="404"/>
      <c r="J502" s="404"/>
      <c r="K502" s="404"/>
      <c r="L502" s="405"/>
      <c r="M502" s="86"/>
      <c r="N502" s="86"/>
      <c r="O502" s="86"/>
      <c r="P502" s="69"/>
      <c r="Q502" s="69"/>
      <c r="R502" s="87"/>
      <c r="S502" s="93"/>
      <c r="T502" s="93"/>
      <c r="U502" s="93"/>
    </row>
    <row r="503" spans="1:23" ht="29.25" customHeight="1" x14ac:dyDescent="0.25">
      <c r="A503" s="146" t="s">
        <v>261</v>
      </c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326"/>
      <c r="M503" s="305"/>
      <c r="N503" s="78"/>
      <c r="O503" s="78"/>
      <c r="P503" s="53"/>
      <c r="Q503" s="53"/>
      <c r="R503" s="147"/>
      <c r="S503" s="147"/>
      <c r="T503" s="54"/>
      <c r="U503" s="66"/>
      <c r="W503" s="401" t="s">
        <v>459</v>
      </c>
    </row>
    <row r="504" spans="1:23" ht="15" customHeight="1" x14ac:dyDescent="0.25">
      <c r="A504" s="141" t="s">
        <v>262</v>
      </c>
      <c r="B504" s="153"/>
      <c r="C504" s="153"/>
      <c r="D504" s="164">
        <v>119</v>
      </c>
      <c r="E504" s="183">
        <f>4000-2881</f>
        <v>1119</v>
      </c>
      <c r="F504" s="428">
        <v>0</v>
      </c>
      <c r="G504" s="201">
        <f t="shared" ref="G504" si="93">+F504+E504+D504</f>
        <v>1238</v>
      </c>
      <c r="H504" s="227"/>
      <c r="I504" s="444"/>
      <c r="J504" s="444"/>
      <c r="K504" s="164">
        <f t="shared" ref="K504:K510" si="94">+G504-P504</f>
        <v>-2762</v>
      </c>
      <c r="L504" s="369"/>
      <c r="M504" s="105">
        <v>4000</v>
      </c>
      <c r="N504" s="105"/>
      <c r="O504" s="9"/>
      <c r="P504" s="67">
        <f>M504+N504+O504</f>
        <v>4000</v>
      </c>
      <c r="Q504" s="9"/>
      <c r="R504" s="9"/>
      <c r="S504" s="12">
        <v>4000</v>
      </c>
      <c r="T504" s="44">
        <v>9500</v>
      </c>
      <c r="U504" s="44">
        <v>3558.07</v>
      </c>
    </row>
    <row r="505" spans="1:23" ht="14.45" customHeight="1" x14ac:dyDescent="0.25">
      <c r="A505" s="144" t="s">
        <v>405</v>
      </c>
      <c r="B505" s="148"/>
      <c r="C505" s="554"/>
      <c r="D505" s="168">
        <v>10500</v>
      </c>
      <c r="E505" s="168"/>
      <c r="F505" s="280"/>
      <c r="G505" s="201">
        <f t="shared" ref="G505:G510" si="95">+F505+E505+D505</f>
        <v>10500</v>
      </c>
      <c r="H505" s="221"/>
      <c r="I505" s="442"/>
      <c r="J505" s="442"/>
      <c r="K505" s="164">
        <f t="shared" si="94"/>
        <v>6000</v>
      </c>
      <c r="L505" s="368"/>
      <c r="M505" s="105">
        <v>4500</v>
      </c>
      <c r="N505" s="105"/>
      <c r="O505" s="9"/>
      <c r="P505" s="67">
        <f t="shared" ref="P505:P510" si="96">M505+N505+O505</f>
        <v>4500</v>
      </c>
      <c r="Q505" s="9"/>
      <c r="R505" s="9"/>
      <c r="S505" s="12"/>
      <c r="T505" s="44"/>
      <c r="U505" s="90"/>
    </row>
    <row r="506" spans="1:23" ht="14.45" customHeight="1" x14ac:dyDescent="0.25">
      <c r="A506" s="7" t="s">
        <v>263</v>
      </c>
      <c r="B506" s="148"/>
      <c r="C506" s="148"/>
      <c r="D506" s="164">
        <v>2660</v>
      </c>
      <c r="E506" s="164">
        <f>2660</f>
        <v>2660</v>
      </c>
      <c r="F506" s="254">
        <v>0</v>
      </c>
      <c r="G506" s="201">
        <f t="shared" si="95"/>
        <v>5320</v>
      </c>
      <c r="H506" s="218"/>
      <c r="I506" s="296"/>
      <c r="J506" s="296"/>
      <c r="K506" s="164">
        <f t="shared" si="94"/>
        <v>3945</v>
      </c>
      <c r="L506" s="364"/>
      <c r="M506" s="105">
        <v>1375</v>
      </c>
      <c r="N506" s="105"/>
      <c r="O506" s="9"/>
      <c r="P506" s="67">
        <f t="shared" si="96"/>
        <v>1375</v>
      </c>
      <c r="Q506" s="9"/>
      <c r="R506" s="9"/>
      <c r="S506" s="12">
        <v>1650</v>
      </c>
      <c r="T506" s="44">
        <v>15000</v>
      </c>
      <c r="U506" s="44">
        <v>10468.58</v>
      </c>
      <c r="W506" s="500"/>
    </row>
    <row r="507" spans="1:23" ht="14.45" customHeight="1" x14ac:dyDescent="0.25">
      <c r="A507" s="7" t="s">
        <v>264</v>
      </c>
      <c r="B507" s="148"/>
      <c r="C507" s="148"/>
      <c r="D507" s="164"/>
      <c r="E507" s="164"/>
      <c r="F507" s="254">
        <v>0</v>
      </c>
      <c r="G507" s="201">
        <f t="shared" si="95"/>
        <v>0</v>
      </c>
      <c r="H507" s="218"/>
      <c r="I507" s="296"/>
      <c r="J507" s="296"/>
      <c r="K507" s="164">
        <f t="shared" si="94"/>
        <v>-500</v>
      </c>
      <c r="L507" s="364"/>
      <c r="M507" s="105">
        <v>500</v>
      </c>
      <c r="N507" s="105"/>
      <c r="O507" s="9"/>
      <c r="P507" s="67">
        <f t="shared" si="96"/>
        <v>500</v>
      </c>
      <c r="Q507" s="9"/>
      <c r="R507" s="9"/>
      <c r="S507" s="12">
        <v>8000</v>
      </c>
      <c r="T507" s="44">
        <v>800</v>
      </c>
      <c r="U507" s="44">
        <v>676.42</v>
      </c>
      <c r="W507" s="500"/>
    </row>
    <row r="508" spans="1:23" ht="14.45" customHeight="1" x14ac:dyDescent="0.25">
      <c r="A508" s="7" t="s">
        <v>265</v>
      </c>
      <c r="B508" s="148"/>
      <c r="C508" s="148"/>
      <c r="D508" s="164"/>
      <c r="E508" s="164">
        <v>25130</v>
      </c>
      <c r="F508" s="254">
        <v>0</v>
      </c>
      <c r="G508" s="201">
        <f t="shared" si="95"/>
        <v>25130</v>
      </c>
      <c r="H508" s="218"/>
      <c r="I508" s="296"/>
      <c r="J508" s="296"/>
      <c r="K508" s="164">
        <f t="shared" si="94"/>
        <v>8762</v>
      </c>
      <c r="L508" s="364"/>
      <c r="M508" s="105">
        <v>16368</v>
      </c>
      <c r="N508" s="105"/>
      <c r="O508" s="9"/>
      <c r="P508" s="67">
        <f t="shared" si="96"/>
        <v>16368</v>
      </c>
      <c r="Q508" s="9"/>
      <c r="R508" s="9"/>
      <c r="S508" s="12">
        <v>22390</v>
      </c>
      <c r="T508" s="44">
        <v>9000</v>
      </c>
      <c r="U508" s="44">
        <v>9603.2000000000007</v>
      </c>
      <c r="V508" s="389"/>
    </row>
    <row r="509" spans="1:23" ht="14.45" customHeight="1" x14ac:dyDescent="0.25">
      <c r="A509" s="7" t="s">
        <v>266</v>
      </c>
      <c r="B509" s="148"/>
      <c r="C509" s="148"/>
      <c r="D509" s="164"/>
      <c r="E509" s="164">
        <v>26250</v>
      </c>
      <c r="F509" s="254">
        <v>0</v>
      </c>
      <c r="G509" s="201">
        <f t="shared" si="95"/>
        <v>26250</v>
      </c>
      <c r="H509" s="218"/>
      <c r="I509" s="296"/>
      <c r="J509" s="296"/>
      <c r="K509" s="164">
        <f t="shared" si="94"/>
        <v>17000</v>
      </c>
      <c r="L509" s="364"/>
      <c r="M509" s="105">
        <v>9250</v>
      </c>
      <c r="N509" s="105"/>
      <c r="O509" s="9"/>
      <c r="P509" s="67">
        <f>M509+N509+O509</f>
        <v>9250</v>
      </c>
      <c r="Q509" s="9"/>
      <c r="R509" s="9"/>
      <c r="S509" s="12">
        <v>11100</v>
      </c>
      <c r="T509" s="44">
        <v>1000</v>
      </c>
      <c r="U509" s="44">
        <v>868.96</v>
      </c>
      <c r="W509" s="500"/>
    </row>
    <row r="510" spans="1:23" ht="14.45" customHeight="1" x14ac:dyDescent="0.25">
      <c r="A510" s="7" t="s">
        <v>267</v>
      </c>
      <c r="B510" s="148"/>
      <c r="C510" s="148"/>
      <c r="D510" s="164">
        <v>500</v>
      </c>
      <c r="E510" s="164"/>
      <c r="F510" s="254">
        <v>0</v>
      </c>
      <c r="G510" s="201">
        <f t="shared" si="95"/>
        <v>500</v>
      </c>
      <c r="H510" s="218"/>
      <c r="I510" s="296"/>
      <c r="J510" s="296"/>
      <c r="K510" s="164">
        <f t="shared" si="94"/>
        <v>0</v>
      </c>
      <c r="L510" s="364"/>
      <c r="M510" s="105">
        <v>500</v>
      </c>
      <c r="N510" s="105"/>
      <c r="O510" s="9"/>
      <c r="P510" s="67">
        <f t="shared" si="96"/>
        <v>500</v>
      </c>
      <c r="Q510" s="9"/>
      <c r="R510" s="9"/>
      <c r="S510" s="12">
        <v>500</v>
      </c>
      <c r="T510" s="44">
        <v>0</v>
      </c>
      <c r="U510" s="44">
        <v>18.7</v>
      </c>
    </row>
    <row r="511" spans="1:23" ht="14.45" customHeight="1" x14ac:dyDescent="0.25">
      <c r="A511" s="142" t="s">
        <v>268</v>
      </c>
      <c r="B511" s="293"/>
      <c r="C511" s="293"/>
      <c r="D511" s="176">
        <f>SUM(D504:D510)</f>
        <v>13779</v>
      </c>
      <c r="E511" s="176">
        <f>SUM(E504:E510)</f>
        <v>55159</v>
      </c>
      <c r="F511" s="176">
        <f>SUM(F504:F510)</f>
        <v>0</v>
      </c>
      <c r="G511" s="176">
        <f>SUM(G504:G510)</f>
        <v>68938</v>
      </c>
      <c r="H511" s="224"/>
      <c r="I511" s="224"/>
      <c r="J511" s="224"/>
      <c r="K511" s="224">
        <f>SUM(K504:K510)</f>
        <v>32445</v>
      </c>
      <c r="L511" s="365"/>
      <c r="M511" s="176">
        <f>SUM(M504:M510)</f>
        <v>36493</v>
      </c>
      <c r="N511" s="176">
        <f>SUM(N504:N510)</f>
        <v>0</v>
      </c>
      <c r="O511" s="176">
        <f>SUM(O504:O510)</f>
        <v>0</v>
      </c>
      <c r="P511" s="176">
        <f>SUM(P504:P510)</f>
        <v>36493</v>
      </c>
      <c r="Q511" s="60">
        <f>P511/P49</f>
        <v>5.5252575415306532E-3</v>
      </c>
      <c r="R511" s="48">
        <f>P511-S511</f>
        <v>-11147</v>
      </c>
      <c r="S511" s="32">
        <v>47640</v>
      </c>
      <c r="T511" s="49">
        <v>35300</v>
      </c>
      <c r="U511" s="49">
        <v>25193.93</v>
      </c>
      <c r="W511" s="342"/>
    </row>
    <row r="512" spans="1:23" ht="15" customHeight="1" x14ac:dyDescent="0.25">
      <c r="A512" s="61"/>
      <c r="B512" s="69"/>
      <c r="C512" s="69"/>
      <c r="D512" s="178"/>
      <c r="E512" s="178"/>
      <c r="F512" s="178"/>
      <c r="G512" s="178"/>
      <c r="H512" s="215"/>
      <c r="I512" s="212"/>
      <c r="J512" s="212"/>
      <c r="K512" s="212"/>
      <c r="L512" s="328"/>
      <c r="M512" s="51"/>
      <c r="N512" s="51"/>
      <c r="O512" s="51"/>
      <c r="P512" s="61"/>
      <c r="Q512" s="61"/>
      <c r="R512" s="68"/>
      <c r="S512" s="69"/>
      <c r="T512" s="69"/>
      <c r="U512" s="69"/>
    </row>
    <row r="513" spans="1:23" ht="29.25" customHeight="1" x14ac:dyDescent="0.25">
      <c r="A513" s="52" t="s">
        <v>269</v>
      </c>
      <c r="B513" s="146"/>
      <c r="C513" s="146"/>
      <c r="D513" s="52"/>
      <c r="E513" s="52"/>
      <c r="F513" s="52"/>
      <c r="G513" s="52"/>
      <c r="H513" s="52"/>
      <c r="I513" s="52"/>
      <c r="J513" s="52"/>
      <c r="K513" s="52"/>
      <c r="L513" s="323"/>
      <c r="M513" s="305"/>
      <c r="N513" s="78"/>
      <c r="O513" s="78"/>
      <c r="P513" s="53"/>
      <c r="Q513" s="53"/>
      <c r="R513" s="152"/>
      <c r="S513" s="152"/>
      <c r="T513" s="54"/>
      <c r="U513" s="66"/>
      <c r="W513" s="401" t="s">
        <v>459</v>
      </c>
    </row>
    <row r="514" spans="1:23" ht="14.45" hidden="1" customHeight="1" x14ac:dyDescent="0.25">
      <c r="A514" s="70" t="s">
        <v>270</v>
      </c>
      <c r="B514" s="546"/>
      <c r="C514" s="546"/>
      <c r="D514" s="179"/>
      <c r="E514" s="179"/>
      <c r="F514" s="179"/>
      <c r="G514" s="179"/>
      <c r="H514" s="218"/>
      <c r="I514" s="232"/>
      <c r="J514" s="232"/>
      <c r="K514" s="232"/>
      <c r="L514" s="324"/>
      <c r="M514" s="71"/>
      <c r="N514" s="71"/>
      <c r="O514" s="71"/>
      <c r="P514" s="70"/>
      <c r="Q514" s="70"/>
      <c r="R514" s="72"/>
      <c r="S514" s="73">
        <v>0</v>
      </c>
      <c r="T514" s="73">
        <v>0</v>
      </c>
      <c r="U514" s="73">
        <v>400</v>
      </c>
    </row>
    <row r="515" spans="1:23" ht="14.45" hidden="1" customHeight="1" x14ac:dyDescent="0.25">
      <c r="A515" s="61"/>
      <c r="B515" s="546" t="s">
        <v>271</v>
      </c>
      <c r="C515" s="546"/>
      <c r="D515" s="70"/>
      <c r="E515" s="70"/>
      <c r="F515" s="70"/>
      <c r="G515" s="70"/>
      <c r="H515" s="70"/>
      <c r="I515" s="70"/>
      <c r="J515" s="70"/>
      <c r="K515" s="70"/>
      <c r="L515" s="336"/>
      <c r="M515" s="313"/>
      <c r="N515" s="70"/>
      <c r="O515" s="70"/>
      <c r="P515" s="70"/>
      <c r="Q515" s="70"/>
      <c r="R515" s="70"/>
      <c r="S515" s="70"/>
      <c r="T515" s="70"/>
      <c r="U515" s="70"/>
    </row>
    <row r="516" spans="1:23" x14ac:dyDescent="0.25">
      <c r="A516" s="245" t="s">
        <v>420</v>
      </c>
      <c r="B516" s="243"/>
      <c r="C516" s="243"/>
      <c r="D516" s="281"/>
      <c r="E516" s="246">
        <v>13000</v>
      </c>
      <c r="F516" s="243"/>
      <c r="G516" s="247">
        <f t="shared" ref="G516:G522" si="97">+F516+E516+D516</f>
        <v>13000</v>
      </c>
      <c r="H516" s="243"/>
      <c r="I516" s="446"/>
      <c r="J516" s="446"/>
      <c r="K516" s="246">
        <f t="shared" ref="K516:K522" si="98">+G516-P516</f>
        <v>13000</v>
      </c>
      <c r="L516" s="337"/>
      <c r="M516" s="249"/>
      <c r="N516" s="243"/>
      <c r="O516" s="243"/>
      <c r="P516" s="243"/>
      <c r="Q516" s="243"/>
      <c r="R516" s="70"/>
      <c r="S516" s="70"/>
      <c r="T516" s="70"/>
      <c r="U516" s="70"/>
      <c r="W516" s="390" t="s">
        <v>464</v>
      </c>
    </row>
    <row r="517" spans="1:23" ht="14.45" customHeight="1" x14ac:dyDescent="0.25">
      <c r="A517" s="245" t="s">
        <v>422</v>
      </c>
      <c r="B517" s="243"/>
      <c r="C517" s="243"/>
      <c r="D517" s="243"/>
      <c r="E517" s="246">
        <v>13635</v>
      </c>
      <c r="F517" s="243"/>
      <c r="G517" s="247">
        <f t="shared" si="97"/>
        <v>13635</v>
      </c>
      <c r="H517" s="243"/>
      <c r="I517" s="446"/>
      <c r="J517" s="446"/>
      <c r="K517" s="246">
        <f t="shared" si="98"/>
        <v>13635</v>
      </c>
      <c r="L517" s="337"/>
      <c r="M517" s="249"/>
      <c r="N517" s="243"/>
      <c r="O517" s="243"/>
      <c r="P517" s="243"/>
      <c r="Q517" s="243"/>
      <c r="R517" s="70"/>
      <c r="S517" s="70"/>
      <c r="T517" s="70"/>
      <c r="U517" s="70"/>
      <c r="W517" s="342"/>
    </row>
    <row r="518" spans="1:23" ht="17.25" customHeight="1" x14ac:dyDescent="0.25">
      <c r="A518" s="260" t="s">
        <v>421</v>
      </c>
      <c r="B518" s="243"/>
      <c r="C518" s="243"/>
      <c r="D518" s="243"/>
      <c r="E518" s="246">
        <v>4000</v>
      </c>
      <c r="F518" s="243"/>
      <c r="G518" s="247">
        <f t="shared" si="97"/>
        <v>4000</v>
      </c>
      <c r="H518" s="243"/>
      <c r="I518" s="243"/>
      <c r="J518" s="243"/>
      <c r="K518" s="246">
        <f t="shared" si="98"/>
        <v>4000</v>
      </c>
      <c r="L518" s="376"/>
      <c r="M518" s="249"/>
      <c r="N518" s="243"/>
      <c r="O518" s="243"/>
      <c r="P518" s="243"/>
      <c r="Q518" s="243"/>
      <c r="R518" s="70"/>
      <c r="S518" s="70"/>
      <c r="T518" s="70"/>
      <c r="U518" s="70"/>
      <c r="W518" s="342"/>
    </row>
    <row r="519" spans="1:23" ht="14.45" customHeight="1" x14ac:dyDescent="0.25">
      <c r="A519" s="7" t="s">
        <v>272</v>
      </c>
      <c r="B519" s="148"/>
      <c r="C519" s="148"/>
      <c r="D519" s="254">
        <v>21516</v>
      </c>
      <c r="E519" s="164"/>
      <c r="F519" s="164"/>
      <c r="G519" s="194">
        <f t="shared" si="97"/>
        <v>21516</v>
      </c>
      <c r="H519" s="218"/>
      <c r="I519" s="296"/>
      <c r="J519" s="296"/>
      <c r="K519" s="164">
        <f t="shared" si="98"/>
        <v>8516</v>
      </c>
      <c r="L519" s="364"/>
      <c r="M519" s="105">
        <v>13000</v>
      </c>
      <c r="N519" s="105"/>
      <c r="O519" s="9"/>
      <c r="P519" s="67">
        <f>M519+N519+O519</f>
        <v>13000</v>
      </c>
      <c r="Q519" s="9"/>
      <c r="R519" s="9"/>
      <c r="S519" s="12">
        <v>10898</v>
      </c>
      <c r="T519" s="44">
        <v>7000</v>
      </c>
      <c r="U519" s="44">
        <v>4599.3100000000004</v>
      </c>
    </row>
    <row r="520" spans="1:23" ht="14.45" customHeight="1" x14ac:dyDescent="0.25">
      <c r="A520" s="7" t="s">
        <v>273</v>
      </c>
      <c r="B520" s="148"/>
      <c r="C520" s="148"/>
      <c r="D520" s="164"/>
      <c r="E520" s="164"/>
      <c r="F520" s="164"/>
      <c r="G520" s="194">
        <f t="shared" si="97"/>
        <v>0</v>
      </c>
      <c r="H520" s="218"/>
      <c r="I520" s="296"/>
      <c r="J520" s="296"/>
      <c r="K520" s="164">
        <f t="shared" si="98"/>
        <v>0</v>
      </c>
      <c r="L520" s="364"/>
      <c r="M520" s="105"/>
      <c r="N520" s="105"/>
      <c r="O520" s="9"/>
      <c r="P520" s="67">
        <f t="shared" ref="P520:P522" si="99">M520+N520+O520</f>
        <v>0</v>
      </c>
      <c r="Q520" s="9"/>
      <c r="R520" s="9"/>
      <c r="S520" s="12">
        <v>2227</v>
      </c>
      <c r="T520" s="44">
        <v>0</v>
      </c>
      <c r="U520" s="44">
        <v>0</v>
      </c>
    </row>
    <row r="521" spans="1:23" ht="14.45" customHeight="1" x14ac:dyDescent="0.25">
      <c r="A521" s="7" t="s">
        <v>274</v>
      </c>
      <c r="B521" s="148"/>
      <c r="C521" s="148"/>
      <c r="D521" s="164">
        <v>5000</v>
      </c>
      <c r="E521" s="164"/>
      <c r="F521" s="164"/>
      <c r="G521" s="194">
        <f t="shared" si="97"/>
        <v>5000</v>
      </c>
      <c r="H521" s="218"/>
      <c r="I521" s="296"/>
      <c r="J521" s="296"/>
      <c r="K521" s="164">
        <f t="shared" si="98"/>
        <v>-5000</v>
      </c>
      <c r="L521" s="364"/>
      <c r="M521" s="204">
        <v>10000</v>
      </c>
      <c r="N521" s="105"/>
      <c r="O521" s="9"/>
      <c r="P521" s="67">
        <f t="shared" si="99"/>
        <v>10000</v>
      </c>
      <c r="Q521" s="9"/>
      <c r="R521" s="9"/>
      <c r="S521" s="12">
        <v>2500</v>
      </c>
      <c r="T521" s="44">
        <v>1300</v>
      </c>
      <c r="U521" s="44">
        <v>690</v>
      </c>
    </row>
    <row r="522" spans="1:23" ht="14.45" customHeight="1" x14ac:dyDescent="0.25">
      <c r="A522" s="148" t="s">
        <v>275</v>
      </c>
      <c r="B522" s="148"/>
      <c r="C522" s="148"/>
      <c r="D522" s="254"/>
      <c r="E522" s="164"/>
      <c r="F522" s="164"/>
      <c r="G522" s="194">
        <f t="shared" si="97"/>
        <v>0</v>
      </c>
      <c r="H522" s="218"/>
      <c r="I522" s="296"/>
      <c r="J522" s="296"/>
      <c r="K522" s="164">
        <f t="shared" si="98"/>
        <v>0</v>
      </c>
      <c r="L522" s="364"/>
      <c r="M522" s="105"/>
      <c r="N522" s="105"/>
      <c r="O522" s="9"/>
      <c r="P522" s="9">
        <f t="shared" si="99"/>
        <v>0</v>
      </c>
      <c r="Q522" s="9"/>
      <c r="R522" s="9"/>
      <c r="S522" s="12">
        <v>0</v>
      </c>
      <c r="T522" s="44">
        <v>5000</v>
      </c>
      <c r="U522" s="44">
        <v>0</v>
      </c>
      <c r="W522" s="3" t="s">
        <v>406</v>
      </c>
    </row>
    <row r="523" spans="1:23" ht="14.45" customHeight="1" x14ac:dyDescent="0.25">
      <c r="A523" s="142" t="s">
        <v>276</v>
      </c>
      <c r="B523" s="293"/>
      <c r="C523" s="293"/>
      <c r="D523" s="176">
        <f>SUM(D516:D522)</f>
        <v>26516</v>
      </c>
      <c r="E523" s="176">
        <f>SUM(E516:E522)</f>
        <v>30635</v>
      </c>
      <c r="F523" s="176">
        <f>SUM(F516:F522)</f>
        <v>0</v>
      </c>
      <c r="G523" s="176">
        <f>SUM(G516:G522)</f>
        <v>57151</v>
      </c>
      <c r="H523" s="224"/>
      <c r="I523" s="224"/>
      <c r="J523" s="224"/>
      <c r="K523" s="176">
        <f>SUM(K516:K522)</f>
        <v>34151</v>
      </c>
      <c r="L523" s="365"/>
      <c r="M523" s="205">
        <f>SUM(M516:M522)</f>
        <v>23000</v>
      </c>
      <c r="N523" s="205">
        <f t="shared" ref="N523:O523" si="100">SUM(N519:N522)</f>
        <v>0</v>
      </c>
      <c r="O523" s="45">
        <f t="shared" si="100"/>
        <v>0</v>
      </c>
      <c r="P523" s="45">
        <f>SUM(M523:O523)</f>
        <v>23000</v>
      </c>
      <c r="Q523" s="60">
        <f>P523/P49</f>
        <v>3.4823369812074928E-3</v>
      </c>
      <c r="R523" s="48">
        <f>P523-S523</f>
        <v>7375</v>
      </c>
      <c r="S523" s="32">
        <v>15625</v>
      </c>
      <c r="T523" s="49">
        <v>13300</v>
      </c>
      <c r="U523" s="49">
        <v>5289.31</v>
      </c>
    </row>
    <row r="524" spans="1:23" ht="15" customHeight="1" x14ac:dyDescent="0.25">
      <c r="A524" s="61"/>
      <c r="B524" s="69"/>
      <c r="C524" s="69"/>
      <c r="D524" s="178"/>
      <c r="E524" s="178"/>
      <c r="F524" s="178"/>
      <c r="G524" s="178"/>
      <c r="H524" s="215"/>
      <c r="I524" s="212"/>
      <c r="J524" s="212"/>
      <c r="K524" s="212"/>
      <c r="L524" s="328"/>
      <c r="M524" s="51"/>
      <c r="N524" s="51"/>
      <c r="O524" s="51"/>
      <c r="P524" s="61"/>
      <c r="Q524" s="61"/>
      <c r="R524" s="68"/>
      <c r="S524" s="69"/>
      <c r="T524" s="69"/>
      <c r="U524" s="69"/>
    </row>
    <row r="525" spans="1:23" ht="30" customHeight="1" x14ac:dyDescent="0.25">
      <c r="A525" s="52" t="s">
        <v>277</v>
      </c>
      <c r="B525" s="146"/>
      <c r="C525" s="146"/>
      <c r="D525" s="52"/>
      <c r="E525" s="52"/>
      <c r="F525" s="52"/>
      <c r="G525" s="52"/>
      <c r="H525" s="52"/>
      <c r="I525" s="52"/>
      <c r="J525" s="52"/>
      <c r="K525" s="52"/>
      <c r="L525" s="323"/>
      <c r="M525" s="305"/>
      <c r="N525" s="78"/>
      <c r="O525" s="78"/>
      <c r="P525" s="53"/>
      <c r="Q525" s="53"/>
      <c r="R525" s="147"/>
      <c r="S525" s="147"/>
      <c r="T525" s="54"/>
      <c r="U525" s="66"/>
    </row>
    <row r="526" spans="1:23" ht="14.45" customHeight="1" x14ac:dyDescent="0.25">
      <c r="A526" s="148" t="s">
        <v>265</v>
      </c>
      <c r="B526" s="148"/>
      <c r="C526" s="148"/>
      <c r="D526" s="181">
        <v>3400</v>
      </c>
      <c r="E526" s="181"/>
      <c r="F526" s="181"/>
      <c r="G526" s="194">
        <f t="shared" ref="G526:G534" si="101">+F526+E526+D526</f>
        <v>3400</v>
      </c>
      <c r="H526" s="221"/>
      <c r="I526" s="442"/>
      <c r="J526" s="442"/>
      <c r="K526" s="164">
        <f t="shared" ref="K526:K534" si="102">+G526-P526</f>
        <v>-5900</v>
      </c>
      <c r="L526" s="368"/>
      <c r="M526" s="204">
        <v>9300</v>
      </c>
      <c r="N526" s="105"/>
      <c r="O526" s="9"/>
      <c r="P526" s="67">
        <f>M526+N526+O526</f>
        <v>9300</v>
      </c>
      <c r="Q526" s="9"/>
      <c r="R526" s="9"/>
      <c r="S526" s="12">
        <v>2000</v>
      </c>
      <c r="T526" s="44">
        <v>1000</v>
      </c>
      <c r="U526" s="44">
        <v>9375.61</v>
      </c>
    </row>
    <row r="527" spans="1:23" ht="14.45" customHeight="1" x14ac:dyDescent="0.25">
      <c r="A527" s="7" t="s">
        <v>108</v>
      </c>
      <c r="B527" s="148"/>
      <c r="C527" s="148"/>
      <c r="D527" s="164">
        <v>450</v>
      </c>
      <c r="E527" s="164"/>
      <c r="F527" s="164"/>
      <c r="G527" s="194">
        <f t="shared" si="101"/>
        <v>450</v>
      </c>
      <c r="H527" s="218"/>
      <c r="I527" s="296"/>
      <c r="J527" s="296"/>
      <c r="K527" s="164">
        <f t="shared" si="102"/>
        <v>-750</v>
      </c>
      <c r="L527" s="364"/>
      <c r="M527" s="105">
        <v>1200</v>
      </c>
      <c r="N527" s="105"/>
      <c r="O527" s="9"/>
      <c r="P527" s="67">
        <f t="shared" ref="P527:P529" si="103">M527+N527+O527</f>
        <v>1200</v>
      </c>
      <c r="Q527" s="9"/>
      <c r="R527" s="9"/>
      <c r="S527" s="12">
        <v>3000</v>
      </c>
      <c r="T527" s="44">
        <v>3000</v>
      </c>
      <c r="U527" s="44">
        <v>600</v>
      </c>
    </row>
    <row r="528" spans="1:23" ht="14.45" customHeight="1" x14ac:dyDescent="0.25">
      <c r="A528" s="7" t="s">
        <v>278</v>
      </c>
      <c r="B528" s="148"/>
      <c r="C528" s="148"/>
      <c r="D528" s="164">
        <v>500</v>
      </c>
      <c r="E528" s="164"/>
      <c r="F528" s="164"/>
      <c r="G528" s="194">
        <f>+F528+E528+D528</f>
        <v>500</v>
      </c>
      <c r="H528" s="218"/>
      <c r="I528" s="296"/>
      <c r="J528" s="296"/>
      <c r="K528" s="164">
        <f t="shared" si="102"/>
        <v>-440</v>
      </c>
      <c r="L528" s="364"/>
      <c r="M528" s="105">
        <v>940</v>
      </c>
      <c r="N528" s="105"/>
      <c r="O528" s="9"/>
      <c r="P528" s="67">
        <f t="shared" si="103"/>
        <v>940</v>
      </c>
      <c r="Q528" s="9"/>
      <c r="R528" s="9"/>
      <c r="S528" s="12"/>
      <c r="T528" s="44">
        <v>0</v>
      </c>
      <c r="U528" s="44">
        <v>35.200000000000003</v>
      </c>
    </row>
    <row r="529" spans="1:23" ht="14.45" customHeight="1" x14ac:dyDescent="0.25">
      <c r="A529" s="148" t="s">
        <v>279</v>
      </c>
      <c r="B529" s="148"/>
      <c r="C529" s="148"/>
      <c r="D529" s="164">
        <v>180</v>
      </c>
      <c r="E529" s="164"/>
      <c r="F529" s="164"/>
      <c r="G529" s="194">
        <f t="shared" si="101"/>
        <v>180</v>
      </c>
      <c r="H529" s="218"/>
      <c r="I529" s="296"/>
      <c r="J529" s="296"/>
      <c r="K529" s="164">
        <f t="shared" si="102"/>
        <v>-4620</v>
      </c>
      <c r="L529" s="364"/>
      <c r="M529" s="105">
        <v>4800</v>
      </c>
      <c r="N529" s="105"/>
      <c r="O529" s="9"/>
      <c r="P529" s="67">
        <f t="shared" si="103"/>
        <v>4800</v>
      </c>
      <c r="Q529" s="9"/>
      <c r="R529" s="9"/>
      <c r="S529" s="12">
        <v>2000</v>
      </c>
      <c r="T529" s="44">
        <v>1000</v>
      </c>
      <c r="U529" s="44">
        <v>282.95</v>
      </c>
    </row>
    <row r="530" spans="1:23" ht="22.5" customHeight="1" x14ac:dyDescent="0.25">
      <c r="A530" s="574" t="s">
        <v>407</v>
      </c>
      <c r="B530" s="574"/>
      <c r="C530" s="574"/>
      <c r="D530" s="575">
        <v>0</v>
      </c>
      <c r="E530" s="575">
        <v>3100</v>
      </c>
      <c r="F530" s="575"/>
      <c r="G530" s="576">
        <f t="shared" si="101"/>
        <v>3100</v>
      </c>
      <c r="H530" s="577"/>
      <c r="I530" s="577"/>
      <c r="J530" s="577"/>
      <c r="K530" s="575">
        <f t="shared" si="102"/>
        <v>3100</v>
      </c>
      <c r="L530" s="578"/>
      <c r="M530" s="579"/>
      <c r="N530" s="579"/>
      <c r="O530" s="580"/>
      <c r="P530" s="580"/>
      <c r="Q530" s="244"/>
      <c r="R530" s="9"/>
      <c r="S530" s="12"/>
      <c r="T530" s="44"/>
      <c r="U530" s="44"/>
      <c r="W530" s="390" t="s">
        <v>465</v>
      </c>
    </row>
    <row r="531" spans="1:23" ht="14.45" customHeight="1" x14ac:dyDescent="0.25">
      <c r="A531" s="148" t="s">
        <v>409</v>
      </c>
      <c r="B531" s="148"/>
      <c r="C531" s="148"/>
      <c r="D531" s="164">
        <v>1200</v>
      </c>
      <c r="E531" s="164"/>
      <c r="F531" s="164"/>
      <c r="G531" s="194">
        <f t="shared" si="101"/>
        <v>1200</v>
      </c>
      <c r="H531" s="218"/>
      <c r="I531" s="296"/>
      <c r="J531" s="296"/>
      <c r="K531" s="164">
        <f t="shared" si="102"/>
        <v>1200</v>
      </c>
      <c r="L531" s="364"/>
      <c r="M531" s="105"/>
      <c r="N531" s="105"/>
      <c r="O531" s="9"/>
      <c r="P531" s="67"/>
      <c r="Q531" s="9"/>
      <c r="R531" s="9"/>
      <c r="S531" s="12"/>
      <c r="T531" s="44"/>
      <c r="U531" s="44"/>
      <c r="W531" s="3" t="s">
        <v>408</v>
      </c>
    </row>
    <row r="532" spans="1:23" ht="14.45" customHeight="1" x14ac:dyDescent="0.25">
      <c r="A532" s="148" t="s">
        <v>410</v>
      </c>
      <c r="B532" s="148"/>
      <c r="C532" s="148"/>
      <c r="D532" s="164">
        <v>600</v>
      </c>
      <c r="E532" s="164"/>
      <c r="F532" s="164"/>
      <c r="G532" s="194">
        <f t="shared" si="101"/>
        <v>600</v>
      </c>
      <c r="H532" s="218"/>
      <c r="I532" s="296"/>
      <c r="J532" s="296"/>
      <c r="K532" s="164">
        <f t="shared" si="102"/>
        <v>600</v>
      </c>
      <c r="L532" s="364"/>
      <c r="M532" s="105"/>
      <c r="N532" s="105"/>
      <c r="O532" s="9"/>
      <c r="P532" s="67"/>
      <c r="Q532" s="9"/>
      <c r="R532" s="9"/>
      <c r="S532" s="12"/>
      <c r="T532" s="44"/>
      <c r="U532" s="44"/>
      <c r="W532" s="3" t="s">
        <v>408</v>
      </c>
    </row>
    <row r="533" spans="1:23" ht="14.45" customHeight="1" x14ac:dyDescent="0.25">
      <c r="A533" s="148" t="s">
        <v>411</v>
      </c>
      <c r="B533" s="148"/>
      <c r="C533" s="148"/>
      <c r="D533" s="164">
        <v>800</v>
      </c>
      <c r="E533" s="164"/>
      <c r="F533" s="164"/>
      <c r="G533" s="194">
        <f t="shared" si="101"/>
        <v>800</v>
      </c>
      <c r="H533" s="218"/>
      <c r="I533" s="296"/>
      <c r="J533" s="296"/>
      <c r="K533" s="164">
        <f t="shared" si="102"/>
        <v>800</v>
      </c>
      <c r="L533" s="364"/>
      <c r="M533" s="105"/>
      <c r="N533" s="105"/>
      <c r="O533" s="9"/>
      <c r="P533" s="67"/>
      <c r="Q533" s="9"/>
      <c r="R533" s="9"/>
      <c r="S533" s="12"/>
      <c r="T533" s="44"/>
      <c r="U533" s="44"/>
      <c r="W533" s="3" t="s">
        <v>408</v>
      </c>
    </row>
    <row r="534" spans="1:23" ht="14.45" customHeight="1" x14ac:dyDescent="0.25">
      <c r="A534" s="148" t="s">
        <v>412</v>
      </c>
      <c r="B534" s="148"/>
      <c r="C534" s="148"/>
      <c r="D534" s="164">
        <v>500</v>
      </c>
      <c r="E534" s="164"/>
      <c r="F534" s="164"/>
      <c r="G534" s="194">
        <f t="shared" si="101"/>
        <v>500</v>
      </c>
      <c r="H534" s="218"/>
      <c r="I534" s="296"/>
      <c r="J534" s="296"/>
      <c r="K534" s="164">
        <f t="shared" si="102"/>
        <v>500</v>
      </c>
      <c r="L534" s="364"/>
      <c r="M534" s="105"/>
      <c r="N534" s="105"/>
      <c r="O534" s="9"/>
      <c r="P534" s="67"/>
      <c r="Q534" s="9"/>
      <c r="R534" s="9"/>
      <c r="S534" s="12"/>
      <c r="T534" s="44"/>
      <c r="U534" s="44"/>
      <c r="W534" s="3" t="s">
        <v>408</v>
      </c>
    </row>
    <row r="535" spans="1:23" ht="14.45" customHeight="1" x14ac:dyDescent="0.25">
      <c r="A535" s="142" t="s">
        <v>280</v>
      </c>
      <c r="B535" s="293"/>
      <c r="C535" s="293"/>
      <c r="D535" s="176">
        <f>SUM(D526:D534)</f>
        <v>7630</v>
      </c>
      <c r="E535" s="176">
        <f>SUM(E526:E534)</f>
        <v>3100</v>
      </c>
      <c r="F535" s="176">
        <f>SUM(F526:F534)</f>
        <v>0</v>
      </c>
      <c r="G535" s="176">
        <f>SUM(G526:G534)</f>
        <v>10730</v>
      </c>
      <c r="H535" s="224"/>
      <c r="I535" s="224"/>
      <c r="J535" s="224"/>
      <c r="K535" s="224">
        <f>SUM(K526:K534)</f>
        <v>-5510</v>
      </c>
      <c r="L535" s="365"/>
      <c r="M535" s="205">
        <f>SUM(M526:M534)</f>
        <v>16240</v>
      </c>
      <c r="N535" s="45">
        <f>SUM(N526:N534)</f>
        <v>0</v>
      </c>
      <c r="O535" s="45">
        <f>SUM(O526:O534)</f>
        <v>0</v>
      </c>
      <c r="P535" s="45">
        <f>SUM(P526:P534)</f>
        <v>16240</v>
      </c>
      <c r="Q535" s="60">
        <f>P535/P49</f>
        <v>2.4588327206438994E-3</v>
      </c>
      <c r="R535" s="48">
        <f>P535-S535</f>
        <v>9240</v>
      </c>
      <c r="S535" s="32">
        <v>7000</v>
      </c>
      <c r="T535" s="49">
        <v>5000</v>
      </c>
      <c r="U535" s="49">
        <v>10293.76</v>
      </c>
    </row>
    <row r="536" spans="1:23" ht="15" customHeight="1" x14ac:dyDescent="0.25">
      <c r="A536" s="69"/>
      <c r="B536" s="69"/>
      <c r="C536" s="69"/>
      <c r="D536" s="402"/>
      <c r="E536" s="402"/>
      <c r="F536" s="402"/>
      <c r="G536" s="402"/>
      <c r="H536" s="403"/>
      <c r="I536" s="404"/>
      <c r="J536" s="404"/>
      <c r="K536" s="404"/>
      <c r="L536" s="405"/>
      <c r="M536" s="86"/>
      <c r="N536" s="86"/>
      <c r="O536" s="86"/>
      <c r="P536" s="69"/>
      <c r="Q536" s="69"/>
      <c r="R536" s="87"/>
      <c r="S536" s="69"/>
      <c r="T536" s="69"/>
      <c r="U536" s="69"/>
    </row>
    <row r="537" spans="1:23" ht="45.75" customHeight="1" x14ac:dyDescent="0.25">
      <c r="A537" s="52" t="s">
        <v>281</v>
      </c>
      <c r="B537" s="146"/>
      <c r="C537" s="146"/>
      <c r="D537" s="52"/>
      <c r="E537" s="52"/>
      <c r="F537" s="52"/>
      <c r="G537" s="52"/>
      <c r="H537" s="52"/>
      <c r="I537" s="52"/>
      <c r="J537" s="52"/>
      <c r="K537" s="52"/>
      <c r="L537" s="323"/>
      <c r="M537" s="305"/>
      <c r="N537" s="78"/>
      <c r="O537" s="78"/>
      <c r="P537" s="53"/>
      <c r="Q537" s="53"/>
      <c r="R537" s="147"/>
      <c r="S537" s="147"/>
      <c r="T537" s="54"/>
      <c r="U537" s="66"/>
      <c r="W537" s="401" t="s">
        <v>467</v>
      </c>
    </row>
    <row r="538" spans="1:23" x14ac:dyDescent="0.25">
      <c r="A538" s="549" t="s">
        <v>155</v>
      </c>
      <c r="B538" s="549"/>
      <c r="C538" s="549"/>
      <c r="D538" s="637"/>
      <c r="E538" s="637">
        <f>+N538*V$538</f>
        <v>278234.93</v>
      </c>
      <c r="F538" s="264"/>
      <c r="G538" s="638">
        <f t="shared" ref="G538:G549" si="104">+F538+E538+D538</f>
        <v>278234.93</v>
      </c>
      <c r="H538" s="265"/>
      <c r="I538" s="265"/>
      <c r="J538" s="265"/>
      <c r="K538" s="264">
        <f t="shared" ref="K538:K549" si="105">+G538-P538</f>
        <v>8103.929999999993</v>
      </c>
      <c r="L538" s="378"/>
      <c r="M538" s="315"/>
      <c r="N538" s="267">
        <v>270131</v>
      </c>
      <c r="O538" s="24"/>
      <c r="P538" s="24">
        <f>M538+N538+O538</f>
        <v>270131</v>
      </c>
      <c r="Q538" s="266"/>
      <c r="R538" s="266"/>
      <c r="S538" s="268">
        <v>120000</v>
      </c>
      <c r="T538" s="269">
        <v>239376</v>
      </c>
      <c r="U538" s="269">
        <v>78327.009999999995</v>
      </c>
      <c r="V538" s="3">
        <v>1.03</v>
      </c>
      <c r="W538" s="343" t="s">
        <v>545</v>
      </c>
    </row>
    <row r="539" spans="1:23" ht="14.45" customHeight="1" x14ac:dyDescent="0.25">
      <c r="A539" s="148" t="s">
        <v>282</v>
      </c>
      <c r="B539" s="148"/>
      <c r="C539" s="148"/>
      <c r="D539" s="164"/>
      <c r="E539" s="164"/>
      <c r="F539" s="164"/>
      <c r="G539" s="194">
        <f t="shared" si="104"/>
        <v>0</v>
      </c>
      <c r="H539" s="218"/>
      <c r="I539" s="218"/>
      <c r="J539" s="218"/>
      <c r="K539" s="164">
        <f t="shared" si="105"/>
        <v>0</v>
      </c>
      <c r="L539" s="364"/>
      <c r="M539" s="105"/>
      <c r="N539" s="204"/>
      <c r="O539" s="67"/>
      <c r="P539" s="67">
        <f t="shared" ref="P539:P549" si="106">M539+N539+O539</f>
        <v>0</v>
      </c>
      <c r="Q539" s="9"/>
      <c r="R539" s="9"/>
      <c r="S539" s="12">
        <v>30000</v>
      </c>
      <c r="T539" s="44">
        <v>0</v>
      </c>
      <c r="U539" s="44">
        <v>0</v>
      </c>
    </row>
    <row r="540" spans="1:23" ht="14.45" customHeight="1" x14ac:dyDescent="0.25">
      <c r="A540" s="148" t="s">
        <v>283</v>
      </c>
      <c r="B540" s="148"/>
      <c r="C540" s="148"/>
      <c r="D540" s="164"/>
      <c r="E540" s="164">
        <v>3000</v>
      </c>
      <c r="F540" s="164"/>
      <c r="G540" s="194">
        <f t="shared" si="104"/>
        <v>3000</v>
      </c>
      <c r="H540" s="218"/>
      <c r="I540" s="218"/>
      <c r="J540" s="218"/>
      <c r="K540" s="164">
        <f t="shared" si="105"/>
        <v>-4000</v>
      </c>
      <c r="L540" s="364"/>
      <c r="M540" s="105"/>
      <c r="N540" s="204">
        <v>7000</v>
      </c>
      <c r="O540" s="67"/>
      <c r="P540" s="67">
        <f t="shared" si="106"/>
        <v>7000</v>
      </c>
      <c r="Q540" s="9"/>
      <c r="R540" s="9"/>
      <c r="S540" s="12">
        <v>2000</v>
      </c>
      <c r="T540" s="44">
        <v>0</v>
      </c>
      <c r="U540" s="44">
        <v>10083.4</v>
      </c>
    </row>
    <row r="541" spans="1:23" ht="14.45" customHeight="1" x14ac:dyDescent="0.25">
      <c r="A541" s="148" t="s">
        <v>284</v>
      </c>
      <c r="B541" s="148"/>
      <c r="C541" s="148"/>
      <c r="D541" s="164"/>
      <c r="E541" s="194">
        <f>-0.25*(G546+G543+G538)</f>
        <v>-100934.52625</v>
      </c>
      <c r="F541" s="164"/>
      <c r="G541" s="194">
        <f t="shared" si="104"/>
        <v>-100934.52625</v>
      </c>
      <c r="H541" s="218"/>
      <c r="I541" s="218"/>
      <c r="J541" s="218"/>
      <c r="K541" s="164">
        <f t="shared" si="105"/>
        <v>4065.4737500000047</v>
      </c>
      <c r="L541" s="364"/>
      <c r="M541" s="105"/>
      <c r="N541" s="203">
        <v>-105000</v>
      </c>
      <c r="O541" s="67"/>
      <c r="P541" s="67">
        <f t="shared" si="106"/>
        <v>-105000</v>
      </c>
      <c r="Q541" s="9"/>
      <c r="R541" s="9"/>
      <c r="S541" s="12"/>
      <c r="T541" s="44">
        <v>60624</v>
      </c>
      <c r="U541" s="44">
        <v>77676</v>
      </c>
      <c r="W541" s="407" t="s">
        <v>466</v>
      </c>
    </row>
    <row r="542" spans="1:23" ht="14.45" customHeight="1" x14ac:dyDescent="0.25">
      <c r="A542" s="148" t="s">
        <v>285</v>
      </c>
      <c r="B542" s="148"/>
      <c r="C542" s="148"/>
      <c r="D542" s="164"/>
      <c r="E542" s="164"/>
      <c r="F542" s="164"/>
      <c r="G542" s="194">
        <f t="shared" si="104"/>
        <v>0</v>
      </c>
      <c r="H542" s="218"/>
      <c r="I542" s="218"/>
      <c r="J542" s="218"/>
      <c r="K542" s="164">
        <f t="shared" si="105"/>
        <v>0</v>
      </c>
      <c r="L542" s="364"/>
      <c r="M542" s="105"/>
      <c r="N542" s="105"/>
      <c r="O542" s="9"/>
      <c r="P542" s="9">
        <f t="shared" si="106"/>
        <v>0</v>
      </c>
      <c r="Q542" s="9"/>
      <c r="R542" s="9"/>
      <c r="S542" s="12">
        <v>0</v>
      </c>
      <c r="T542" s="44">
        <v>0</v>
      </c>
      <c r="U542" s="44">
        <v>14521.27</v>
      </c>
    </row>
    <row r="543" spans="1:23" ht="14.45" customHeight="1" x14ac:dyDescent="0.25">
      <c r="A543" s="148" t="s">
        <v>55</v>
      </c>
      <c r="B543" s="148"/>
      <c r="C543" s="148"/>
      <c r="D543" s="164"/>
      <c r="E543" s="254">
        <f>+N543*1.031</f>
        <v>87866.974999999991</v>
      </c>
      <c r="F543" s="164"/>
      <c r="G543" s="194">
        <f t="shared" si="104"/>
        <v>87866.974999999991</v>
      </c>
      <c r="H543" s="218"/>
      <c r="I543" s="218"/>
      <c r="J543" s="218"/>
      <c r="K543" s="164">
        <f t="shared" si="105"/>
        <v>2641.9749999999913</v>
      </c>
      <c r="L543" s="364"/>
      <c r="M543" s="105"/>
      <c r="N543" s="105">
        <v>85225</v>
      </c>
      <c r="O543" s="9"/>
      <c r="P543" s="67">
        <f t="shared" si="106"/>
        <v>85225</v>
      </c>
      <c r="Q543" s="9"/>
      <c r="R543" s="9"/>
      <c r="S543" s="12">
        <v>45189</v>
      </c>
      <c r="T543" s="44">
        <v>23851</v>
      </c>
      <c r="U543" s="44">
        <v>32893</v>
      </c>
      <c r="W543" s="250"/>
    </row>
    <row r="544" spans="1:23" ht="14.45" customHeight="1" x14ac:dyDescent="0.25">
      <c r="A544" s="148" t="s">
        <v>84</v>
      </c>
      <c r="B544" s="148"/>
      <c r="C544" s="148"/>
      <c r="D544" s="164"/>
      <c r="E544" s="164"/>
      <c r="F544" s="164"/>
      <c r="G544" s="194">
        <f t="shared" si="104"/>
        <v>0</v>
      </c>
      <c r="H544" s="218"/>
      <c r="I544" s="218"/>
      <c r="J544" s="218"/>
      <c r="K544" s="164">
        <f t="shared" si="105"/>
        <v>0</v>
      </c>
      <c r="L544" s="364"/>
      <c r="M544" s="105"/>
      <c r="N544" s="105"/>
      <c r="O544" s="9"/>
      <c r="P544" s="67">
        <f t="shared" si="106"/>
        <v>0</v>
      </c>
      <c r="Q544" s="9"/>
      <c r="R544" s="9"/>
      <c r="S544" s="12">
        <v>9000</v>
      </c>
      <c r="T544" s="44">
        <v>8000</v>
      </c>
      <c r="U544" s="44">
        <v>5654.31</v>
      </c>
    </row>
    <row r="545" spans="1:23" ht="14.45" customHeight="1" x14ac:dyDescent="0.25">
      <c r="A545" s="148" t="s">
        <v>57</v>
      </c>
      <c r="B545" s="148"/>
      <c r="C545" s="148"/>
      <c r="D545" s="164"/>
      <c r="E545" s="164"/>
      <c r="F545" s="164"/>
      <c r="G545" s="194">
        <f t="shared" si="104"/>
        <v>0</v>
      </c>
      <c r="H545" s="218"/>
      <c r="I545" s="218"/>
      <c r="J545" s="218"/>
      <c r="K545" s="164">
        <f t="shared" si="105"/>
        <v>0</v>
      </c>
      <c r="L545" s="364"/>
      <c r="M545" s="105"/>
      <c r="N545" s="105"/>
      <c r="O545" s="9"/>
      <c r="P545" s="67">
        <f t="shared" si="106"/>
        <v>0</v>
      </c>
      <c r="Q545" s="9"/>
      <c r="R545" s="9"/>
      <c r="S545" s="12">
        <v>1377</v>
      </c>
      <c r="T545" s="44">
        <v>0</v>
      </c>
      <c r="U545" s="44">
        <v>1142</v>
      </c>
    </row>
    <row r="546" spans="1:23" ht="14.45" customHeight="1" x14ac:dyDescent="0.25">
      <c r="A546" s="148" t="s">
        <v>59</v>
      </c>
      <c r="B546" s="148"/>
      <c r="C546" s="148"/>
      <c r="D546" s="164"/>
      <c r="E546" s="254">
        <f>+N546*V$538</f>
        <v>37636.200000000004</v>
      </c>
      <c r="F546" s="164"/>
      <c r="G546" s="194">
        <f t="shared" si="104"/>
        <v>37636.200000000004</v>
      </c>
      <c r="H546" s="218"/>
      <c r="I546" s="218"/>
      <c r="J546" s="218"/>
      <c r="K546" s="164">
        <f t="shared" si="105"/>
        <v>1096.2000000000044</v>
      </c>
      <c r="L546" s="364"/>
      <c r="M546" s="105"/>
      <c r="N546" s="105">
        <v>36540</v>
      </c>
      <c r="O546" s="9"/>
      <c r="P546" s="67">
        <f t="shared" si="106"/>
        <v>36540</v>
      </c>
      <c r="Q546" s="9"/>
      <c r="R546" s="9"/>
      <c r="S546" s="12">
        <v>49656</v>
      </c>
      <c r="T546" s="44">
        <v>30000</v>
      </c>
      <c r="U546" s="44">
        <v>32353.61</v>
      </c>
    </row>
    <row r="547" spans="1:23" ht="14.45" customHeight="1" x14ac:dyDescent="0.25">
      <c r="A547" s="7" t="s">
        <v>60</v>
      </c>
      <c r="B547" s="148"/>
      <c r="C547" s="148"/>
      <c r="D547" s="164"/>
      <c r="E547" s="164"/>
      <c r="F547" s="164"/>
      <c r="G547" s="194">
        <f>+F547+E547+D547</f>
        <v>0</v>
      </c>
      <c r="H547" s="218"/>
      <c r="I547" s="218"/>
      <c r="J547" s="218"/>
      <c r="K547" s="164">
        <f t="shared" si="105"/>
        <v>0</v>
      </c>
      <c r="L547" s="364"/>
      <c r="M547" s="105"/>
      <c r="N547" s="105"/>
      <c r="O547" s="9"/>
      <c r="P547" s="9">
        <f t="shared" si="106"/>
        <v>0</v>
      </c>
      <c r="Q547" s="9"/>
      <c r="R547" s="9"/>
      <c r="S547" s="12">
        <v>0</v>
      </c>
      <c r="T547" s="44">
        <v>0</v>
      </c>
      <c r="U547" s="44">
        <v>144.9</v>
      </c>
    </row>
    <row r="548" spans="1:23" ht="14.45" customHeight="1" x14ac:dyDescent="0.25">
      <c r="A548" s="7" t="s">
        <v>286</v>
      </c>
      <c r="B548" s="148"/>
      <c r="C548" s="148"/>
      <c r="D548" s="164"/>
      <c r="E548" s="164"/>
      <c r="F548" s="164"/>
      <c r="G548" s="194">
        <f t="shared" si="104"/>
        <v>0</v>
      </c>
      <c r="H548" s="218"/>
      <c r="I548" s="218"/>
      <c r="J548" s="218"/>
      <c r="K548" s="164">
        <f t="shared" si="105"/>
        <v>0</v>
      </c>
      <c r="L548" s="364"/>
      <c r="M548" s="105"/>
      <c r="N548" s="105"/>
      <c r="O548" s="9"/>
      <c r="P548" s="9">
        <f t="shared" si="106"/>
        <v>0</v>
      </c>
      <c r="Q548" s="9"/>
      <c r="R548" s="9"/>
      <c r="S548" s="12">
        <v>2500</v>
      </c>
      <c r="T548" s="44">
        <v>3550</v>
      </c>
      <c r="U548" s="44">
        <v>653.17999999999995</v>
      </c>
    </row>
    <row r="549" spans="1:23" ht="14.45" customHeight="1" x14ac:dyDescent="0.25">
      <c r="A549" s="7" t="s">
        <v>90</v>
      </c>
      <c r="B549" s="148"/>
      <c r="C549" s="148"/>
      <c r="D549" s="164"/>
      <c r="E549" s="164"/>
      <c r="F549" s="164"/>
      <c r="G549" s="194">
        <f t="shared" si="104"/>
        <v>0</v>
      </c>
      <c r="H549" s="218"/>
      <c r="I549" s="218"/>
      <c r="J549" s="218"/>
      <c r="K549" s="164">
        <f t="shared" si="105"/>
        <v>0</v>
      </c>
      <c r="L549" s="364"/>
      <c r="M549" s="105"/>
      <c r="N549" s="105"/>
      <c r="O549" s="9"/>
      <c r="P549" s="9">
        <f t="shared" si="106"/>
        <v>0</v>
      </c>
      <c r="Q549" s="9"/>
      <c r="R549" s="9"/>
      <c r="S549" s="12">
        <v>0</v>
      </c>
      <c r="T549" s="44">
        <v>0</v>
      </c>
      <c r="U549" s="44">
        <v>240</v>
      </c>
    </row>
    <row r="550" spans="1:23" ht="18.75" customHeight="1" x14ac:dyDescent="0.25">
      <c r="A550" s="142" t="s">
        <v>287</v>
      </c>
      <c r="B550" s="293"/>
      <c r="C550" s="293"/>
      <c r="D550" s="176">
        <f t="shared" ref="D550:F550" si="107">SUM(D538:D549)</f>
        <v>0</v>
      </c>
      <c r="E550" s="176">
        <f t="shared" si="107"/>
        <v>305803.57874999999</v>
      </c>
      <c r="F550" s="176">
        <f t="shared" si="107"/>
        <v>0</v>
      </c>
      <c r="G550" s="176">
        <f>SUM(G538:G549)</f>
        <v>305803.57874999999</v>
      </c>
      <c r="H550" s="224"/>
      <c r="I550" s="224"/>
      <c r="J550" s="224"/>
      <c r="K550" s="176">
        <f>SUM(K538:K549)</f>
        <v>11907.578749999993</v>
      </c>
      <c r="L550" s="365"/>
      <c r="M550" s="205">
        <f>SUM(M538:M549)</f>
        <v>0</v>
      </c>
      <c r="N550" s="205">
        <f t="shared" ref="N550:O550" si="108">SUM(N538:N549)</f>
        <v>293896</v>
      </c>
      <c r="O550" s="45">
        <f t="shared" si="108"/>
        <v>0</v>
      </c>
      <c r="P550" s="45">
        <f>SUM(M550:O550)</f>
        <v>293896</v>
      </c>
      <c r="Q550" s="60">
        <f>P550/P49</f>
        <v>4.4497604757780751E-2</v>
      </c>
      <c r="R550" s="48">
        <f>P550-S550</f>
        <v>34174</v>
      </c>
      <c r="S550" s="32">
        <v>259722</v>
      </c>
      <c r="T550" s="49">
        <v>365401</v>
      </c>
      <c r="U550" s="49">
        <v>253688.68</v>
      </c>
      <c r="W550" s="429"/>
    </row>
    <row r="551" spans="1:23" ht="15" customHeight="1" x14ac:dyDescent="0.25">
      <c r="A551" s="61"/>
      <c r="B551" s="69"/>
      <c r="C551" s="69"/>
      <c r="D551" s="178"/>
      <c r="E551" s="178"/>
      <c r="F551" s="178"/>
      <c r="G551" s="178"/>
      <c r="H551" s="215"/>
      <c r="I551" s="212"/>
      <c r="J551" s="212"/>
      <c r="K551" s="212"/>
      <c r="L551" s="328"/>
      <c r="M551" s="51"/>
      <c r="N551" s="51"/>
      <c r="O551" s="51"/>
      <c r="P551" s="61"/>
      <c r="Q551" s="61"/>
      <c r="R551" s="68"/>
      <c r="S551" s="69"/>
      <c r="T551" s="69"/>
      <c r="U551" s="69"/>
    </row>
    <row r="552" spans="1:23" ht="30" customHeight="1" x14ac:dyDescent="0.25">
      <c r="A552" s="52" t="s">
        <v>288</v>
      </c>
      <c r="B552" s="146"/>
      <c r="C552" s="146"/>
      <c r="D552" s="52"/>
      <c r="E552" s="52"/>
      <c r="F552" s="52"/>
      <c r="G552" s="52"/>
      <c r="H552" s="52"/>
      <c r="I552" s="52"/>
      <c r="J552" s="52"/>
      <c r="K552" s="52"/>
      <c r="L552" s="323"/>
      <c r="M552" s="305"/>
      <c r="N552" s="78"/>
      <c r="O552" s="78"/>
      <c r="P552" s="53"/>
      <c r="Q552" s="53"/>
      <c r="R552" s="147"/>
      <c r="S552" s="147"/>
      <c r="T552" s="54"/>
      <c r="U552" s="66"/>
    </row>
    <row r="553" spans="1:23" ht="14.45" customHeight="1" x14ac:dyDescent="0.25">
      <c r="A553" s="7" t="s">
        <v>289</v>
      </c>
      <c r="B553" s="148"/>
      <c r="C553" s="148"/>
      <c r="D553" s="164">
        <v>12000</v>
      </c>
      <c r="E553" s="164"/>
      <c r="F553" s="164"/>
      <c r="G553" s="194">
        <f>+F553+E553+D553</f>
        <v>12000</v>
      </c>
      <c r="H553" s="218"/>
      <c r="I553" s="296"/>
      <c r="J553" s="296"/>
      <c r="K553" s="164">
        <f t="shared" ref="K553:K554" si="109">+G553-P553</f>
        <v>-750</v>
      </c>
      <c r="L553" s="364"/>
      <c r="M553" s="204">
        <v>12750</v>
      </c>
      <c r="N553" s="105"/>
      <c r="O553" s="9"/>
      <c r="P553" s="67">
        <f>M553+N553+O553</f>
        <v>12750</v>
      </c>
      <c r="Q553" s="9"/>
      <c r="R553" s="9"/>
      <c r="S553" s="12">
        <v>13000</v>
      </c>
      <c r="T553" s="44">
        <v>22750</v>
      </c>
      <c r="U553" s="44">
        <v>13498.77</v>
      </c>
    </row>
    <row r="554" spans="1:23" ht="14.45" customHeight="1" x14ac:dyDescent="0.25">
      <c r="A554" s="7" t="s">
        <v>265</v>
      </c>
      <c r="B554" s="148"/>
      <c r="C554" s="148"/>
      <c r="D554" s="164">
        <v>4725</v>
      </c>
      <c r="E554" s="164"/>
      <c r="F554" s="164"/>
      <c r="G554" s="194">
        <f>+F554+E554+D554</f>
        <v>4725</v>
      </c>
      <c r="H554" s="218"/>
      <c r="I554" s="296"/>
      <c r="J554" s="296"/>
      <c r="K554" s="164">
        <f t="shared" si="109"/>
        <v>700</v>
      </c>
      <c r="L554" s="364"/>
      <c r="M554" s="204">
        <v>4025</v>
      </c>
      <c r="N554" s="105"/>
      <c r="O554" s="9"/>
      <c r="P554" s="67">
        <f>M554+N554+O554</f>
        <v>4025</v>
      </c>
      <c r="Q554" s="9"/>
      <c r="R554" s="9"/>
      <c r="S554" s="12">
        <v>3875</v>
      </c>
      <c r="T554" s="44">
        <v>0</v>
      </c>
      <c r="U554" s="44">
        <v>0</v>
      </c>
    </row>
    <row r="555" spans="1:23" ht="14.45" customHeight="1" x14ac:dyDescent="0.25">
      <c r="A555" s="142" t="s">
        <v>290</v>
      </c>
      <c r="B555" s="293"/>
      <c r="C555" s="293"/>
      <c r="D555" s="176">
        <f t="shared" ref="D555:G555" si="110">SUM(D553:D554)</f>
        <v>16725</v>
      </c>
      <c r="E555" s="176">
        <f t="shared" si="110"/>
        <v>0</v>
      </c>
      <c r="F555" s="176">
        <f t="shared" si="110"/>
        <v>0</v>
      </c>
      <c r="G555" s="176">
        <f t="shared" si="110"/>
        <v>16725</v>
      </c>
      <c r="H555" s="224"/>
      <c r="I555" s="371"/>
      <c r="J555" s="371"/>
      <c r="K555" s="377">
        <f>SUM(K553:K554)</f>
        <v>-50</v>
      </c>
      <c r="L555" s="365"/>
      <c r="M555" s="205">
        <f>SUM(M553:M554)</f>
        <v>16775</v>
      </c>
      <c r="N555" s="205">
        <f t="shared" ref="N555:O555" si="111">SUM(N553:N554)</f>
        <v>0</v>
      </c>
      <c r="O555" s="45">
        <f t="shared" si="111"/>
        <v>0</v>
      </c>
      <c r="P555" s="45">
        <f>SUM(M555:O555)</f>
        <v>16775</v>
      </c>
      <c r="Q555" s="60">
        <f>P555/P49</f>
        <v>2.5398349069458998E-3</v>
      </c>
      <c r="R555" s="48">
        <f>P555-S555</f>
        <v>-100</v>
      </c>
      <c r="S555" s="32">
        <f>SUM(S553:S554)</f>
        <v>16875</v>
      </c>
      <c r="T555" s="44"/>
      <c r="U555" s="44"/>
    </row>
    <row r="556" spans="1:23" ht="9.9499999999999993" customHeight="1" x14ac:dyDescent="0.25">
      <c r="A556" s="70"/>
      <c r="B556" s="546"/>
      <c r="C556" s="546"/>
      <c r="D556" s="179"/>
      <c r="E556" s="179"/>
      <c r="F556" s="179"/>
      <c r="G556" s="179"/>
      <c r="H556" s="218"/>
      <c r="I556" s="232"/>
      <c r="J556" s="232"/>
      <c r="K556" s="212"/>
      <c r="L556" s="324"/>
      <c r="M556" s="71"/>
      <c r="N556" s="71"/>
      <c r="O556" s="71"/>
      <c r="P556" s="70"/>
      <c r="Q556" s="70"/>
      <c r="R556" s="72"/>
      <c r="S556" s="73"/>
      <c r="T556" s="73"/>
      <c r="U556" s="73"/>
    </row>
    <row r="557" spans="1:23" s="593" customFormat="1" ht="41.1" customHeight="1" x14ac:dyDescent="0.25">
      <c r="A557" s="594" t="s">
        <v>291</v>
      </c>
      <c r="B557" s="583"/>
      <c r="C557" s="583"/>
      <c r="D557" s="584">
        <f>D511+D523+D535+D550+D555</f>
        <v>64650</v>
      </c>
      <c r="E557" s="584">
        <f t="shared" ref="E557:F557" si="112">E511+E523+E535+E550+E555</f>
        <v>394697.57874999999</v>
      </c>
      <c r="F557" s="584">
        <f t="shared" si="112"/>
        <v>0</v>
      </c>
      <c r="G557" s="584">
        <f>G511+G523+G535+G550+G555</f>
        <v>459347.57874999999</v>
      </c>
      <c r="H557" s="585"/>
      <c r="I557" s="586">
        <f>+G557/G$786</f>
        <v>8.2910734482218751E-2</v>
      </c>
      <c r="J557" s="585"/>
      <c r="K557" s="584">
        <f>K511+K523+K535+K550+K555</f>
        <v>72943.578749999986</v>
      </c>
      <c r="L557" s="587"/>
      <c r="M557" s="588">
        <f>M511+M523+M535+M550+M555</f>
        <v>92508</v>
      </c>
      <c r="N557" s="588">
        <f>N511+N523+N535+N550+N555</f>
        <v>293896</v>
      </c>
      <c r="O557" s="589">
        <f>O511+O523+O535+O550+O555</f>
        <v>0</v>
      </c>
      <c r="P557" s="589">
        <f>P511+P523+P535+P550+P555</f>
        <v>386404</v>
      </c>
      <c r="Q557" s="590">
        <f>P557/P49</f>
        <v>5.8503866908108694E-2</v>
      </c>
      <c r="R557" s="591">
        <f>P557-S557</f>
        <v>39542</v>
      </c>
      <c r="S557" s="595">
        <f>S555+S550+S535+S523+S511</f>
        <v>346862</v>
      </c>
      <c r="T557" s="595">
        <f>T555+T550+T535+T523+T511</f>
        <v>419001</v>
      </c>
      <c r="U557" s="595">
        <f>U555+U550+U535+U523+U511</f>
        <v>294465.68</v>
      </c>
    </row>
    <row r="558" spans="1:23" ht="30" customHeight="1" x14ac:dyDescent="0.25">
      <c r="A558" s="448"/>
      <c r="B558" s="448"/>
      <c r="C558" s="448"/>
      <c r="D558" s="449"/>
      <c r="E558" s="449"/>
      <c r="F558" s="449"/>
      <c r="G558" s="449"/>
      <c r="H558" s="450"/>
      <c r="I558" s="450"/>
      <c r="J558" s="450"/>
      <c r="K558" s="449"/>
      <c r="L558" s="451"/>
      <c r="M558" s="452"/>
      <c r="N558" s="453"/>
      <c r="O558" s="453"/>
      <c r="P558" s="453"/>
      <c r="Q558" s="454"/>
      <c r="R558" s="455"/>
      <c r="S558" s="456"/>
      <c r="T558" s="457"/>
      <c r="U558" s="457"/>
    </row>
    <row r="559" spans="1:23" ht="28.5" customHeight="1" x14ac:dyDescent="0.25">
      <c r="A559" s="52" t="s">
        <v>292</v>
      </c>
      <c r="B559" s="146"/>
      <c r="C559" s="146"/>
      <c r="D559" s="52"/>
      <c r="E559" s="52"/>
      <c r="F559" s="52"/>
      <c r="G559" s="424"/>
      <c r="H559" s="52"/>
      <c r="I559" s="52"/>
      <c r="J559" s="52"/>
      <c r="K559" s="52"/>
      <c r="L559" s="323"/>
      <c r="M559" s="305"/>
      <c r="N559" s="78"/>
      <c r="O559" s="78"/>
      <c r="P559" s="53"/>
      <c r="Q559" s="53"/>
      <c r="R559" s="147"/>
      <c r="S559" s="147"/>
      <c r="T559" s="54"/>
      <c r="U559" s="54"/>
    </row>
    <row r="560" spans="1:23" ht="14.45" customHeight="1" x14ac:dyDescent="0.25">
      <c r="A560" s="148" t="s">
        <v>293</v>
      </c>
      <c r="B560" s="148"/>
      <c r="C560" s="148"/>
      <c r="D560" s="164"/>
      <c r="E560" s="164"/>
      <c r="F560" s="394">
        <v>5000</v>
      </c>
      <c r="G560" s="194">
        <f t="shared" ref="G560:G565" si="113">+F560+E560+D560</f>
        <v>5000</v>
      </c>
      <c r="H560" s="218"/>
      <c r="I560" s="218"/>
      <c r="J560" s="218"/>
      <c r="K560" s="164">
        <f t="shared" ref="K560:K565" si="114">+G560-P560</f>
        <v>0</v>
      </c>
      <c r="L560" s="364"/>
      <c r="M560" s="105"/>
      <c r="N560" s="105"/>
      <c r="O560" s="395">
        <v>5000</v>
      </c>
      <c r="P560" s="67">
        <f>M560+N560+O560</f>
        <v>5000</v>
      </c>
      <c r="Q560" s="9"/>
      <c r="R560" s="9"/>
      <c r="S560" s="12">
        <v>5000</v>
      </c>
      <c r="T560" s="44">
        <v>5000</v>
      </c>
      <c r="U560" s="44">
        <v>4226.96</v>
      </c>
    </row>
    <row r="561" spans="1:23" ht="14.45" customHeight="1" x14ac:dyDescent="0.25">
      <c r="A561" s="148" t="s">
        <v>294</v>
      </c>
      <c r="B561" s="148"/>
      <c r="C561" s="148"/>
      <c r="D561" s="164"/>
      <c r="E561" s="164"/>
      <c r="F561" s="164"/>
      <c r="G561" s="194">
        <f t="shared" si="113"/>
        <v>0</v>
      </c>
      <c r="H561" s="218"/>
      <c r="I561" s="218"/>
      <c r="J561" s="218"/>
      <c r="K561" s="164">
        <f t="shared" si="114"/>
        <v>-25000</v>
      </c>
      <c r="L561" s="364"/>
      <c r="M561" s="105"/>
      <c r="N561" s="105">
        <v>25000</v>
      </c>
      <c r="O561" s="9"/>
      <c r="P561" s="67">
        <f t="shared" ref="P561:P565" si="115">M561+N561+O561</f>
        <v>25000</v>
      </c>
      <c r="Q561" s="9"/>
      <c r="R561" s="9"/>
      <c r="S561" s="12">
        <v>25000</v>
      </c>
      <c r="T561" s="44">
        <v>25000</v>
      </c>
      <c r="U561" s="44">
        <v>25000</v>
      </c>
    </row>
    <row r="562" spans="1:23" ht="14.45" customHeight="1" x14ac:dyDescent="0.25">
      <c r="A562" s="148" t="s">
        <v>295</v>
      </c>
      <c r="B562" s="148"/>
      <c r="C562" s="148"/>
      <c r="D562" s="254"/>
      <c r="E562" s="254">
        <v>0</v>
      </c>
      <c r="F562" s="181"/>
      <c r="G562" s="194">
        <f t="shared" si="113"/>
        <v>0</v>
      </c>
      <c r="H562" s="221"/>
      <c r="I562" s="221"/>
      <c r="J562" s="221"/>
      <c r="K562" s="164">
        <f t="shared" si="114"/>
        <v>-87000</v>
      </c>
      <c r="L562" s="368"/>
      <c r="M562" s="105"/>
      <c r="N562" s="204">
        <v>87000</v>
      </c>
      <c r="O562" s="9"/>
      <c r="P562" s="67">
        <f t="shared" si="115"/>
        <v>87000</v>
      </c>
      <c r="Q562" s="9"/>
      <c r="R562" s="9"/>
      <c r="S562" s="12">
        <v>87000</v>
      </c>
      <c r="T562" s="44">
        <v>145000</v>
      </c>
      <c r="U562" s="44">
        <v>90000</v>
      </c>
    </row>
    <row r="563" spans="1:23" ht="14.45" hidden="1" customHeight="1" x14ac:dyDescent="0.25">
      <c r="A563" s="143" t="s">
        <v>246</v>
      </c>
      <c r="B563" s="148"/>
      <c r="C563" s="148"/>
      <c r="D563" s="164"/>
      <c r="E563" s="164"/>
      <c r="F563" s="164"/>
      <c r="G563" s="194">
        <f t="shared" si="113"/>
        <v>0</v>
      </c>
      <c r="H563" s="218"/>
      <c r="I563" s="218"/>
      <c r="J563" s="218"/>
      <c r="K563" s="164">
        <f t="shared" si="114"/>
        <v>0</v>
      </c>
      <c r="L563" s="364"/>
      <c r="M563" s="105"/>
      <c r="N563" s="105"/>
      <c r="O563" s="9"/>
      <c r="P563" s="67">
        <f t="shared" si="115"/>
        <v>0</v>
      </c>
      <c r="Q563" s="9"/>
      <c r="R563" s="9"/>
      <c r="S563" s="12">
        <v>0</v>
      </c>
      <c r="T563" s="44">
        <v>25000</v>
      </c>
      <c r="U563" s="44">
        <v>5000</v>
      </c>
    </row>
    <row r="564" spans="1:23" ht="14.45" hidden="1" customHeight="1" x14ac:dyDescent="0.25">
      <c r="A564" s="143" t="s">
        <v>296</v>
      </c>
      <c r="B564" s="148"/>
      <c r="C564" s="148"/>
      <c r="D564" s="164"/>
      <c r="E564" s="164"/>
      <c r="F564" s="164"/>
      <c r="G564" s="194">
        <f t="shared" si="113"/>
        <v>0</v>
      </c>
      <c r="H564" s="218"/>
      <c r="I564" s="218"/>
      <c r="J564" s="218"/>
      <c r="K564" s="164">
        <f t="shared" si="114"/>
        <v>0</v>
      </c>
      <c r="L564" s="364"/>
      <c r="M564" s="105"/>
      <c r="N564" s="105"/>
      <c r="O564" s="9"/>
      <c r="P564" s="67">
        <f t="shared" si="115"/>
        <v>0</v>
      </c>
      <c r="Q564" s="9"/>
      <c r="R564" s="9"/>
      <c r="S564" s="12">
        <v>0</v>
      </c>
      <c r="T564" s="44">
        <v>2000</v>
      </c>
      <c r="U564" s="44">
        <v>0</v>
      </c>
    </row>
    <row r="565" spans="1:23" ht="14.45" customHeight="1" x14ac:dyDescent="0.25">
      <c r="A565" s="148" t="s">
        <v>297</v>
      </c>
      <c r="B565" s="148"/>
      <c r="C565" s="148"/>
      <c r="D565" s="164"/>
      <c r="E565" s="164"/>
      <c r="F565" s="164"/>
      <c r="G565" s="194">
        <f t="shared" si="113"/>
        <v>0</v>
      </c>
      <c r="H565" s="218"/>
      <c r="I565" s="218"/>
      <c r="J565" s="218"/>
      <c r="K565" s="164">
        <f t="shared" si="114"/>
        <v>0</v>
      </c>
      <c r="L565" s="364"/>
      <c r="M565" s="105"/>
      <c r="N565" s="204"/>
      <c r="O565" s="9"/>
      <c r="P565" s="67">
        <f t="shared" si="115"/>
        <v>0</v>
      </c>
      <c r="Q565" s="9"/>
      <c r="R565" s="9"/>
      <c r="S565" s="12">
        <v>7500</v>
      </c>
      <c r="T565" s="44">
        <v>0</v>
      </c>
      <c r="U565" s="44">
        <v>0</v>
      </c>
    </row>
    <row r="566" spans="1:23" ht="14.45" customHeight="1" x14ac:dyDescent="0.25">
      <c r="A566" s="293" t="s">
        <v>298</v>
      </c>
      <c r="B566" s="148"/>
      <c r="C566" s="148"/>
      <c r="D566" s="176">
        <f t="shared" ref="D566:G566" si="116">SUM(D560:D565)</f>
        <v>0</v>
      </c>
      <c r="E566" s="176">
        <f t="shared" si="116"/>
        <v>0</v>
      </c>
      <c r="F566" s="176">
        <f t="shared" si="116"/>
        <v>5000</v>
      </c>
      <c r="G566" s="176">
        <f t="shared" si="116"/>
        <v>5000</v>
      </c>
      <c r="H566" s="218"/>
      <c r="I566" s="218"/>
      <c r="J566" s="218"/>
      <c r="K566" s="218">
        <f>SUM(K560:K565)</f>
        <v>-112000</v>
      </c>
      <c r="L566" s="364"/>
      <c r="M566" s="205">
        <f>SUM(M560:M565)</f>
        <v>0</v>
      </c>
      <c r="N566" s="205">
        <f t="shared" ref="N566:O566" si="117">SUM(N560:N565)</f>
        <v>112000</v>
      </c>
      <c r="O566" s="45">
        <f t="shared" si="117"/>
        <v>5000</v>
      </c>
      <c r="P566" s="45">
        <f>SUM(M566:O566)</f>
        <v>117000</v>
      </c>
      <c r="Q566" s="60">
        <f>P566/P49</f>
        <v>1.7714496817446811E-2</v>
      </c>
      <c r="R566" s="48">
        <f>P566-S566</f>
        <v>-7500</v>
      </c>
      <c r="S566" s="32">
        <f>SUM(S560:S565)</f>
        <v>124500</v>
      </c>
      <c r="T566" s="94">
        <f t="shared" ref="T566:U566" si="118">SUM(T560:T565)</f>
        <v>202000</v>
      </c>
      <c r="U566" s="49">
        <f t="shared" si="118"/>
        <v>124226.95999999999</v>
      </c>
    </row>
    <row r="567" spans="1:23" ht="15" customHeight="1" x14ac:dyDescent="0.25">
      <c r="A567" s="61"/>
      <c r="B567" s="546" t="s">
        <v>271</v>
      </c>
      <c r="C567" s="546"/>
      <c r="D567" s="70"/>
      <c r="E567" s="70"/>
      <c r="F567" s="70"/>
      <c r="G567" s="70"/>
      <c r="H567" s="70"/>
      <c r="I567" s="70"/>
      <c r="J567" s="70"/>
      <c r="K567" s="72"/>
      <c r="L567" s="336"/>
      <c r="M567" s="314"/>
      <c r="N567" s="70"/>
      <c r="O567" s="70"/>
      <c r="P567" s="70"/>
      <c r="Q567" s="70"/>
      <c r="R567" s="70"/>
      <c r="S567" s="70"/>
      <c r="T567" s="70"/>
      <c r="U567" s="70"/>
    </row>
    <row r="568" spans="1:23" ht="33" customHeight="1" x14ac:dyDescent="0.25">
      <c r="A568" s="52" t="s">
        <v>299</v>
      </c>
      <c r="B568" s="146"/>
      <c r="C568" s="146"/>
      <c r="D568" s="52"/>
      <c r="E568" s="52"/>
      <c r="F568" s="52"/>
      <c r="G568" s="52"/>
      <c r="H568" s="52"/>
      <c r="I568" s="52"/>
      <c r="J568" s="52"/>
      <c r="K568" s="52"/>
      <c r="L568" s="323"/>
      <c r="M568" s="305"/>
      <c r="N568" s="78"/>
      <c r="O568" s="78"/>
      <c r="P568" s="53"/>
      <c r="Q568" s="53"/>
      <c r="R568" s="147"/>
      <c r="S568" s="147"/>
      <c r="T568" s="54"/>
      <c r="U568" s="54"/>
    </row>
    <row r="569" spans="1:23" ht="14.45" customHeight="1" x14ac:dyDescent="0.25">
      <c r="A569" s="7" t="s">
        <v>300</v>
      </c>
      <c r="B569" s="148"/>
      <c r="C569" s="148"/>
      <c r="D569" s="164"/>
      <c r="E569" s="164"/>
      <c r="F569" s="254">
        <v>15000</v>
      </c>
      <c r="G569" s="194">
        <f t="shared" ref="G569:G574" si="119">+F569+E569+D569</f>
        <v>15000</v>
      </c>
      <c r="H569" s="218"/>
      <c r="I569" s="218"/>
      <c r="J569" s="218"/>
      <c r="K569" s="164">
        <f t="shared" ref="K569:K574" si="120">+G569-P569</f>
        <v>0</v>
      </c>
      <c r="L569" s="364"/>
      <c r="M569" s="105"/>
      <c r="N569" s="105"/>
      <c r="O569" s="95">
        <v>15000</v>
      </c>
      <c r="P569" s="67">
        <f>M569+N569+O569</f>
        <v>15000</v>
      </c>
      <c r="Q569" s="9"/>
      <c r="R569" s="9"/>
      <c r="S569" s="12">
        <v>15000</v>
      </c>
      <c r="T569" s="44">
        <v>0</v>
      </c>
      <c r="U569" s="44">
        <v>0</v>
      </c>
      <c r="W569" s="343" t="s">
        <v>468</v>
      </c>
    </row>
    <row r="570" spans="1:23" ht="14.45" hidden="1" customHeight="1" x14ac:dyDescent="0.25">
      <c r="A570" s="7" t="s">
        <v>245</v>
      </c>
      <c r="B570" s="148"/>
      <c r="C570" s="148"/>
      <c r="D570" s="164"/>
      <c r="E570" s="164"/>
      <c r="F570" s="254"/>
      <c r="G570" s="194">
        <f t="shared" si="119"/>
        <v>0</v>
      </c>
      <c r="H570" s="218"/>
      <c r="I570" s="218"/>
      <c r="J570" s="218"/>
      <c r="K570" s="164">
        <f t="shared" si="120"/>
        <v>0</v>
      </c>
      <c r="L570" s="364"/>
      <c r="M570" s="105"/>
      <c r="N570" s="105"/>
      <c r="O570" s="95">
        <v>0</v>
      </c>
      <c r="P570" s="67"/>
      <c r="Q570" s="9"/>
      <c r="R570" s="9"/>
      <c r="S570" s="12">
        <v>600</v>
      </c>
      <c r="T570" s="44">
        <v>0</v>
      </c>
      <c r="U570" s="44">
        <v>307.89</v>
      </c>
    </row>
    <row r="571" spans="1:23" ht="14.45" customHeight="1" x14ac:dyDescent="0.25">
      <c r="A571" s="7" t="s">
        <v>301</v>
      </c>
      <c r="B571" s="148"/>
      <c r="C571" s="148"/>
      <c r="D571" s="164"/>
      <c r="E571" s="164"/>
      <c r="F571" s="254">
        <v>1000</v>
      </c>
      <c r="G571" s="194">
        <f t="shared" si="119"/>
        <v>1000</v>
      </c>
      <c r="H571" s="218"/>
      <c r="I571" s="218"/>
      <c r="J571" s="218"/>
      <c r="K571" s="164">
        <f t="shared" si="120"/>
        <v>0</v>
      </c>
      <c r="L571" s="364"/>
      <c r="M571" s="105"/>
      <c r="N571" s="105"/>
      <c r="O571" s="95">
        <v>1000</v>
      </c>
      <c r="P571" s="67">
        <f t="shared" ref="P571:P574" si="121">M571+N571+O571</f>
        <v>1000</v>
      </c>
      <c r="Q571" s="9"/>
      <c r="R571" s="9"/>
      <c r="S571" s="12">
        <v>750</v>
      </c>
      <c r="T571" s="44">
        <v>0</v>
      </c>
      <c r="U571" s="44">
        <v>565.04999999999995</v>
      </c>
    </row>
    <row r="572" spans="1:23" ht="14.45" customHeight="1" x14ac:dyDescent="0.25">
      <c r="A572" s="7" t="s">
        <v>246</v>
      </c>
      <c r="B572" s="148"/>
      <c r="C572" s="148"/>
      <c r="D572" s="164"/>
      <c r="E572" s="164"/>
      <c r="F572" s="254">
        <f>97650-16700</f>
        <v>80950</v>
      </c>
      <c r="G572" s="194">
        <f t="shared" si="119"/>
        <v>80950</v>
      </c>
      <c r="H572" s="218"/>
      <c r="I572" s="218"/>
      <c r="J572" s="218"/>
      <c r="K572" s="164">
        <f t="shared" si="120"/>
        <v>-19050</v>
      </c>
      <c r="L572" s="364"/>
      <c r="M572" s="105"/>
      <c r="N572" s="105"/>
      <c r="O572" s="95">
        <v>100000</v>
      </c>
      <c r="P572" s="67">
        <f t="shared" si="121"/>
        <v>100000</v>
      </c>
      <c r="Q572" s="9"/>
      <c r="R572" s="9"/>
      <c r="S572" s="12">
        <v>100000</v>
      </c>
      <c r="T572" s="44">
        <v>75841</v>
      </c>
      <c r="U572" s="44">
        <v>68070</v>
      </c>
    </row>
    <row r="573" spans="1:23" ht="14.45" customHeight="1" x14ac:dyDescent="0.25">
      <c r="A573" s="7" t="s">
        <v>79</v>
      </c>
      <c r="B573" s="148"/>
      <c r="C573" s="148"/>
      <c r="D573" s="164"/>
      <c r="E573" s="164"/>
      <c r="F573" s="254">
        <v>500</v>
      </c>
      <c r="G573" s="194">
        <f>+F573+E573+D573</f>
        <v>500</v>
      </c>
      <c r="H573" s="218"/>
      <c r="I573" s="218"/>
      <c r="J573" s="218"/>
      <c r="K573" s="164">
        <f t="shared" si="120"/>
        <v>0</v>
      </c>
      <c r="L573" s="364"/>
      <c r="M573" s="105"/>
      <c r="N573" s="105"/>
      <c r="O573" s="95">
        <v>500</v>
      </c>
      <c r="P573" s="67">
        <f t="shared" si="121"/>
        <v>500</v>
      </c>
      <c r="Q573" s="9"/>
      <c r="R573" s="9"/>
      <c r="S573" s="12">
        <v>1000</v>
      </c>
      <c r="T573" s="44">
        <v>0</v>
      </c>
      <c r="U573" s="44">
        <v>636.95000000000005</v>
      </c>
    </row>
    <row r="574" spans="1:23" ht="14.45" customHeight="1" x14ac:dyDescent="0.25">
      <c r="A574" s="7" t="s">
        <v>102</v>
      </c>
      <c r="B574" s="148"/>
      <c r="C574" s="148"/>
      <c r="D574" s="164"/>
      <c r="E574" s="164"/>
      <c r="F574" s="254">
        <v>200</v>
      </c>
      <c r="G574" s="194">
        <f t="shared" si="119"/>
        <v>200</v>
      </c>
      <c r="H574" s="218"/>
      <c r="I574" s="218"/>
      <c r="J574" s="218"/>
      <c r="K574" s="164">
        <f t="shared" si="120"/>
        <v>-2800</v>
      </c>
      <c r="L574" s="364"/>
      <c r="M574" s="105"/>
      <c r="N574" s="105"/>
      <c r="O574" s="95">
        <v>3000</v>
      </c>
      <c r="P574" s="67">
        <f t="shared" si="121"/>
        <v>3000</v>
      </c>
      <c r="Q574" s="9"/>
      <c r="R574" s="9"/>
      <c r="S574" s="12">
        <v>6000</v>
      </c>
      <c r="T574" s="44">
        <v>15000</v>
      </c>
      <c r="U574" s="44">
        <v>392.33</v>
      </c>
    </row>
    <row r="575" spans="1:23" ht="14.45" customHeight="1" x14ac:dyDescent="0.25">
      <c r="A575" s="581" t="s">
        <v>302</v>
      </c>
      <c r="B575" s="148"/>
      <c r="C575" s="148"/>
      <c r="D575" s="176">
        <f t="shared" ref="D575:G575" si="122">SUM(D569:D574)</f>
        <v>0</v>
      </c>
      <c r="E575" s="176">
        <f t="shared" si="122"/>
        <v>0</v>
      </c>
      <c r="F575" s="582">
        <f>SUM(F569:F574)</f>
        <v>97650</v>
      </c>
      <c r="G575" s="176">
        <f t="shared" si="122"/>
        <v>97650</v>
      </c>
      <c r="H575" s="218"/>
      <c r="I575" s="218"/>
      <c r="J575" s="218"/>
      <c r="K575" s="218">
        <f>SUM(K569:K574)</f>
        <v>-21850</v>
      </c>
      <c r="L575" s="364"/>
      <c r="M575" s="205">
        <f>SUM(M569:M574)</f>
        <v>0</v>
      </c>
      <c r="N575" s="205">
        <f t="shared" ref="N575:O575" si="123">SUM(N569:N574)</f>
        <v>0</v>
      </c>
      <c r="O575" s="45">
        <f t="shared" si="123"/>
        <v>119500</v>
      </c>
      <c r="P575" s="45">
        <f>SUM(M575:O575)</f>
        <v>119500</v>
      </c>
      <c r="Q575" s="60">
        <f>P575/P49</f>
        <v>1.8093011706708496E-2</v>
      </c>
      <c r="R575" s="48">
        <f>P575-S575</f>
        <v>-3850</v>
      </c>
      <c r="S575" s="83">
        <f>SUM(S569:S574)</f>
        <v>123350</v>
      </c>
      <c r="T575" s="96">
        <f t="shared" ref="T575:U575" si="124">SUM(T569:T574)</f>
        <v>90841</v>
      </c>
      <c r="U575" s="49">
        <f t="shared" si="124"/>
        <v>69972.22</v>
      </c>
    </row>
    <row r="576" spans="1:23" ht="15" customHeight="1" x14ac:dyDescent="0.25">
      <c r="A576" s="61"/>
      <c r="B576" s="69"/>
      <c r="C576" s="69"/>
      <c r="D576" s="178"/>
      <c r="E576" s="178"/>
      <c r="F576" s="178"/>
      <c r="G576" s="178"/>
      <c r="H576" s="212"/>
      <c r="I576" s="212"/>
      <c r="J576" s="212"/>
      <c r="K576" s="212"/>
      <c r="L576" s="328"/>
      <c r="M576" s="51"/>
      <c r="N576" s="51"/>
      <c r="O576" s="51"/>
      <c r="P576" s="61"/>
      <c r="Q576" s="61"/>
      <c r="R576" s="68"/>
      <c r="S576" s="69"/>
      <c r="T576" s="69"/>
      <c r="U576" s="69"/>
    </row>
    <row r="577" spans="1:23" ht="42" customHeight="1" x14ac:dyDescent="0.25">
      <c r="A577" s="146" t="s">
        <v>303</v>
      </c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323"/>
      <c r="M577" s="262"/>
      <c r="N577" s="78"/>
      <c r="O577" s="78"/>
      <c r="P577" s="53"/>
      <c r="Q577" s="53"/>
      <c r="R577" s="147"/>
      <c r="S577" s="147"/>
      <c r="T577" s="54"/>
      <c r="U577" s="66"/>
      <c r="W577" s="390" t="s">
        <v>458</v>
      </c>
    </row>
    <row r="578" spans="1:23" ht="14.45" customHeight="1" x14ac:dyDescent="0.25">
      <c r="A578" s="148" t="s">
        <v>246</v>
      </c>
      <c r="B578" s="148"/>
      <c r="C578" s="148"/>
      <c r="D578" s="254">
        <f>177000-29000-897</f>
        <v>147103</v>
      </c>
      <c r="E578" s="254">
        <f>29000+897</f>
        <v>29897</v>
      </c>
      <c r="F578" s="164"/>
      <c r="G578" s="194">
        <f t="shared" ref="G578:G582" si="125">+F578+E578+D578</f>
        <v>177000</v>
      </c>
      <c r="H578" s="218"/>
      <c r="I578" s="296"/>
      <c r="J578" s="296"/>
      <c r="K578" s="164">
        <f t="shared" ref="K578:K582" si="126">+G578-P578</f>
        <v>52000</v>
      </c>
      <c r="L578" s="364"/>
      <c r="M578" s="105">
        <v>125000</v>
      </c>
      <c r="N578" s="105"/>
      <c r="O578" s="9"/>
      <c r="P578" s="67">
        <f>M578+N578+O578</f>
        <v>125000</v>
      </c>
      <c r="Q578" s="9"/>
      <c r="R578" s="9"/>
      <c r="S578" s="12">
        <v>125000</v>
      </c>
      <c r="T578" s="44">
        <v>125000</v>
      </c>
      <c r="U578" s="44">
        <v>125000</v>
      </c>
      <c r="W578" s="343" t="s">
        <v>450</v>
      </c>
    </row>
    <row r="579" spans="1:23" ht="14.45" customHeight="1" x14ac:dyDescent="0.25">
      <c r="A579" s="148" t="s">
        <v>304</v>
      </c>
      <c r="B579" s="148"/>
      <c r="C579" s="148"/>
      <c r="D579" s="254"/>
      <c r="E579" s="254">
        <f>55160*0</f>
        <v>0</v>
      </c>
      <c r="F579" s="164"/>
      <c r="G579" s="194">
        <f t="shared" si="125"/>
        <v>0</v>
      </c>
      <c r="H579" s="218"/>
      <c r="I579" s="296"/>
      <c r="J579" s="296"/>
      <c r="K579" s="164">
        <f t="shared" si="126"/>
        <v>-125000</v>
      </c>
      <c r="L579" s="364"/>
      <c r="M579" s="105"/>
      <c r="N579" s="105">
        <v>125000</v>
      </c>
      <c r="O579" s="9"/>
      <c r="P579" s="67">
        <f t="shared" ref="P579:P582" si="127">M579+N579+O579</f>
        <v>125000</v>
      </c>
      <c r="Q579" s="9"/>
      <c r="R579" s="9"/>
      <c r="S579" s="12">
        <v>125000</v>
      </c>
      <c r="T579" s="44">
        <v>125000</v>
      </c>
      <c r="U579" s="44">
        <v>125000</v>
      </c>
      <c r="W579" s="343" t="s">
        <v>480</v>
      </c>
    </row>
    <row r="580" spans="1:23" ht="14.45" customHeight="1" x14ac:dyDescent="0.25">
      <c r="A580" s="7" t="s">
        <v>447</v>
      </c>
      <c r="B580" s="148"/>
      <c r="C580" s="148"/>
      <c r="D580" s="164">
        <v>1500</v>
      </c>
      <c r="E580" s="164">
        <v>0</v>
      </c>
      <c r="F580" s="164"/>
      <c r="G580" s="194">
        <f t="shared" si="125"/>
        <v>1500</v>
      </c>
      <c r="H580" s="218"/>
      <c r="I580" s="296"/>
      <c r="J580" s="296"/>
      <c r="K580" s="164">
        <f t="shared" si="126"/>
        <v>1500</v>
      </c>
      <c r="L580" s="364"/>
      <c r="M580" s="105"/>
      <c r="N580" s="105"/>
      <c r="O580" s="9"/>
      <c r="P580" s="67"/>
      <c r="Q580" s="9"/>
      <c r="R580" s="9"/>
      <c r="S580" s="12"/>
      <c r="T580" s="44"/>
      <c r="U580" s="44"/>
    </row>
    <row r="581" spans="1:23" ht="14.45" customHeight="1" x14ac:dyDescent="0.25">
      <c r="A581" s="7" t="s">
        <v>305</v>
      </c>
      <c r="B581" s="148"/>
      <c r="C581" s="148"/>
      <c r="D581" s="164"/>
      <c r="E581" s="164"/>
      <c r="F581" s="164"/>
      <c r="G581" s="194">
        <f t="shared" si="125"/>
        <v>0</v>
      </c>
      <c r="H581" s="218"/>
      <c r="I581" s="296"/>
      <c r="J581" s="296"/>
      <c r="K581" s="164">
        <f t="shared" si="126"/>
        <v>0</v>
      </c>
      <c r="L581" s="364"/>
      <c r="M581" s="105"/>
      <c r="N581" s="105"/>
      <c r="O581" s="9"/>
      <c r="P581" s="9">
        <f t="shared" si="127"/>
        <v>0</v>
      </c>
      <c r="Q581" s="9"/>
      <c r="R581" s="9"/>
      <c r="S581" s="12">
        <v>588</v>
      </c>
      <c r="T581" s="44">
        <v>0</v>
      </c>
      <c r="U581" s="44">
        <v>0</v>
      </c>
    </row>
    <row r="582" spans="1:23" ht="15" customHeight="1" x14ac:dyDescent="0.25">
      <c r="A582" s="7" t="s">
        <v>306</v>
      </c>
      <c r="B582" s="148"/>
      <c r="C582" s="148"/>
      <c r="D582" s="164"/>
      <c r="E582" s="164"/>
      <c r="F582" s="164"/>
      <c r="G582" s="194">
        <f t="shared" si="125"/>
        <v>0</v>
      </c>
      <c r="H582" s="218"/>
      <c r="I582" s="296"/>
      <c r="J582" s="296"/>
      <c r="K582" s="164">
        <f t="shared" si="126"/>
        <v>0</v>
      </c>
      <c r="L582" s="364"/>
      <c r="M582" s="204">
        <v>0</v>
      </c>
      <c r="N582" s="105"/>
      <c r="O582" s="9"/>
      <c r="P582" s="9">
        <f t="shared" si="127"/>
        <v>0</v>
      </c>
      <c r="Q582" s="9"/>
      <c r="R582" s="9"/>
      <c r="S582" s="12">
        <v>44412</v>
      </c>
      <c r="T582" s="44">
        <v>0</v>
      </c>
      <c r="U582" s="44">
        <v>0</v>
      </c>
    </row>
    <row r="583" spans="1:23" ht="15" customHeight="1" x14ac:dyDescent="0.25">
      <c r="A583" s="142" t="s">
        <v>307</v>
      </c>
      <c r="B583" s="148"/>
      <c r="C583" s="148"/>
      <c r="D583" s="176">
        <f t="shared" ref="D583:F583" si="128">SUM(D578:D582)</f>
        <v>148603</v>
      </c>
      <c r="E583" s="176">
        <f t="shared" si="128"/>
        <v>29897</v>
      </c>
      <c r="F583" s="176">
        <f t="shared" si="128"/>
        <v>0</v>
      </c>
      <c r="G583" s="176">
        <f>SUM(G578:G582)</f>
        <v>178500</v>
      </c>
      <c r="H583" s="218"/>
      <c r="I583" s="218"/>
      <c r="J583" s="218"/>
      <c r="K583" s="434">
        <f>SUM(K578:K582)</f>
        <v>-71500</v>
      </c>
      <c r="L583" s="364"/>
      <c r="M583" s="205">
        <f>SUM(M578:M582)</f>
        <v>125000</v>
      </c>
      <c r="N583" s="205">
        <f t="shared" ref="N583" si="129">SUM(N578:N582)</f>
        <v>125000</v>
      </c>
      <c r="O583" s="45"/>
      <c r="P583" s="45">
        <f>SUM(M583:O583)</f>
        <v>250000</v>
      </c>
      <c r="Q583" s="60">
        <f>P583/P49</f>
        <v>3.7851488926168401E-2</v>
      </c>
      <c r="R583" s="48">
        <f>P583-S583</f>
        <v>-45000</v>
      </c>
      <c r="S583" s="97">
        <f>SUM(S578:S582)</f>
        <v>295000</v>
      </c>
      <c r="T583" s="98">
        <f>SUM(T578:T582)</f>
        <v>250000</v>
      </c>
      <c r="U583" s="99">
        <f>SUM(U578:U582)</f>
        <v>250000</v>
      </c>
    </row>
    <row r="584" spans="1:23" ht="15" customHeight="1" x14ac:dyDescent="0.25">
      <c r="A584" s="61"/>
      <c r="B584" s="69"/>
      <c r="C584" s="69"/>
      <c r="D584" s="178"/>
      <c r="E584" s="178"/>
      <c r="F584" s="178"/>
      <c r="G584" s="178"/>
      <c r="H584" s="212"/>
      <c r="I584" s="212"/>
      <c r="J584" s="212"/>
      <c r="K584" s="212"/>
      <c r="L584" s="328"/>
      <c r="M584" s="51"/>
      <c r="N584" s="51"/>
      <c r="O584" s="51"/>
      <c r="P584" s="61"/>
      <c r="Q584" s="61"/>
      <c r="R584" s="68"/>
      <c r="S584" s="69"/>
      <c r="T584" s="69"/>
      <c r="U584" s="69"/>
    </row>
    <row r="585" spans="1:23" ht="30" hidden="1" customHeight="1" x14ac:dyDescent="0.25">
      <c r="A585" s="52" t="s">
        <v>308</v>
      </c>
      <c r="B585" s="543"/>
      <c r="C585" s="543"/>
      <c r="D585" s="52"/>
      <c r="E585" s="52"/>
      <c r="F585" s="52"/>
      <c r="G585" s="52"/>
      <c r="H585" s="52"/>
      <c r="I585" s="52"/>
      <c r="J585" s="52"/>
      <c r="K585" s="52"/>
      <c r="L585" s="323"/>
      <c r="M585" s="314"/>
      <c r="N585" s="78"/>
      <c r="O585" s="78"/>
      <c r="P585" s="53"/>
      <c r="Q585" s="53"/>
      <c r="R585" s="100"/>
      <c r="S585" s="101"/>
      <c r="T585" s="53"/>
      <c r="U585" s="101"/>
    </row>
    <row r="586" spans="1:23" ht="14.45" hidden="1" customHeight="1" x14ac:dyDescent="0.25">
      <c r="A586" s="7" t="s">
        <v>309</v>
      </c>
      <c r="B586" s="148"/>
      <c r="C586" s="148"/>
      <c r="D586" s="164"/>
      <c r="E586" s="164"/>
      <c r="F586" s="164"/>
      <c r="G586" s="194"/>
      <c r="H586" s="218"/>
      <c r="I586" s="234"/>
      <c r="J586" s="234"/>
      <c r="K586" s="234"/>
      <c r="L586" s="319"/>
      <c r="M586" s="208"/>
      <c r="N586" s="208"/>
      <c r="O586" s="56"/>
      <c r="P586" s="7"/>
      <c r="Q586" s="7"/>
      <c r="R586" s="91"/>
      <c r="S586" s="44">
        <v>0</v>
      </c>
      <c r="T586" s="44">
        <v>4000</v>
      </c>
      <c r="U586" s="44">
        <v>0</v>
      </c>
    </row>
    <row r="587" spans="1:23" ht="14.45" hidden="1" customHeight="1" x14ac:dyDescent="0.25">
      <c r="A587" s="140" t="s">
        <v>310</v>
      </c>
      <c r="B587" s="548"/>
      <c r="C587" s="560"/>
      <c r="D587" s="188"/>
      <c r="E587" s="188"/>
      <c r="F587" s="188"/>
      <c r="G587" s="202"/>
      <c r="H587" s="224"/>
      <c r="I587" s="237"/>
      <c r="J587" s="237"/>
      <c r="K587" s="237"/>
      <c r="L587" s="327"/>
      <c r="M587" s="209">
        <f>SUM(M586)</f>
        <v>0</v>
      </c>
      <c r="N587" s="209">
        <f t="shared" ref="N587:O587" si="130">SUM(N586)</f>
        <v>0</v>
      </c>
      <c r="O587" s="102">
        <f t="shared" si="130"/>
        <v>0</v>
      </c>
      <c r="P587" s="102">
        <f>SUM(M587:O587)</f>
        <v>0</v>
      </c>
      <c r="Q587" s="102"/>
      <c r="R587" s="45"/>
      <c r="S587" s="103">
        <f t="shared" ref="S587:U587" si="131">SUM(S586)</f>
        <v>0</v>
      </c>
      <c r="T587" s="98">
        <f t="shared" si="131"/>
        <v>4000</v>
      </c>
      <c r="U587" s="104">
        <f t="shared" si="131"/>
        <v>0</v>
      </c>
    </row>
    <row r="588" spans="1:23" ht="14.45" hidden="1" customHeight="1" x14ac:dyDescent="0.25">
      <c r="A588" s="61"/>
      <c r="B588" s="546" t="s">
        <v>271</v>
      </c>
      <c r="C588" s="546"/>
      <c r="D588" s="70"/>
      <c r="E588" s="70"/>
      <c r="F588" s="70"/>
      <c r="G588" s="70"/>
      <c r="H588" s="70"/>
      <c r="I588" s="70"/>
      <c r="J588" s="70"/>
      <c r="K588" s="70"/>
      <c r="L588" s="336"/>
      <c r="M588" s="313"/>
      <c r="N588" s="70"/>
      <c r="O588" s="70"/>
      <c r="P588" s="70"/>
      <c r="Q588" s="70"/>
      <c r="R588" s="70"/>
      <c r="S588" s="70"/>
      <c r="T588" s="70"/>
      <c r="U588" s="70"/>
    </row>
    <row r="589" spans="1:23" ht="27" customHeight="1" x14ac:dyDescent="0.25">
      <c r="A589" s="52" t="s">
        <v>311</v>
      </c>
      <c r="B589" s="146"/>
      <c r="C589" s="146"/>
      <c r="D589" s="52"/>
      <c r="E589" s="52"/>
      <c r="F589" s="52"/>
      <c r="G589" s="52"/>
      <c r="H589" s="52"/>
      <c r="I589" s="52"/>
      <c r="J589" s="52"/>
      <c r="K589" s="52"/>
      <c r="L589" s="323"/>
      <c r="M589" s="261"/>
      <c r="N589" s="52"/>
      <c r="O589" s="52"/>
      <c r="P589" s="52"/>
      <c r="Q589" s="52"/>
      <c r="R589" s="52"/>
      <c r="S589" s="52"/>
      <c r="T589" s="52"/>
      <c r="U589" s="52"/>
      <c r="W589" s="390" t="s">
        <v>458</v>
      </c>
    </row>
    <row r="590" spans="1:23" ht="34.5" customHeight="1" x14ac:dyDescent="0.25">
      <c r="A590" s="408" t="s">
        <v>469</v>
      </c>
      <c r="B590" s="549"/>
      <c r="C590" s="549"/>
      <c r="D590" s="264"/>
      <c r="E590" s="264">
        <f>22000+30000</f>
        <v>52000</v>
      </c>
      <c r="F590" s="264"/>
      <c r="G590" s="194">
        <f t="shared" ref="G590:G595" si="132">+F590+E590+D590</f>
        <v>52000</v>
      </c>
      <c r="H590" s="265"/>
      <c r="I590" s="265"/>
      <c r="J590" s="265"/>
      <c r="K590" s="164">
        <f>+G590-P590</f>
        <v>900</v>
      </c>
      <c r="L590" s="378"/>
      <c r="M590" s="315"/>
      <c r="N590" s="267">
        <v>51100</v>
      </c>
      <c r="O590" s="266"/>
      <c r="P590" s="24">
        <f>M590+N590+O590</f>
        <v>51100</v>
      </c>
      <c r="Q590" s="266"/>
      <c r="R590" s="266"/>
      <c r="S590" s="268">
        <v>51100</v>
      </c>
      <c r="T590" s="269">
        <v>51100</v>
      </c>
      <c r="U590" s="269">
        <v>51100</v>
      </c>
    </row>
    <row r="591" spans="1:23" ht="14.45" customHeight="1" x14ac:dyDescent="0.25">
      <c r="A591" s="148" t="s">
        <v>470</v>
      </c>
      <c r="B591" s="148"/>
      <c r="C591" s="148"/>
      <c r="D591" s="181"/>
      <c r="E591" s="181">
        <v>350</v>
      </c>
      <c r="F591" s="181"/>
      <c r="G591" s="194">
        <f t="shared" si="132"/>
        <v>350</v>
      </c>
      <c r="H591" s="221"/>
      <c r="I591" s="221"/>
      <c r="J591" s="221"/>
      <c r="K591" s="164">
        <f t="shared" ref="K591:K595" si="133">+G591-P591</f>
        <v>350</v>
      </c>
      <c r="L591" s="368"/>
      <c r="M591" s="105"/>
      <c r="N591" s="105"/>
      <c r="O591" s="9"/>
      <c r="P591" s="67"/>
      <c r="Q591" s="9"/>
      <c r="R591" s="9"/>
      <c r="S591" s="12"/>
      <c r="T591" s="44"/>
      <c r="U591" s="44"/>
    </row>
    <row r="592" spans="1:23" ht="17.25" customHeight="1" x14ac:dyDescent="0.25">
      <c r="A592" s="406" t="s">
        <v>312</v>
      </c>
      <c r="B592" s="148"/>
      <c r="C592" s="148"/>
      <c r="D592" s="181"/>
      <c r="E592" s="181">
        <v>0</v>
      </c>
      <c r="F592" s="254">
        <v>10000</v>
      </c>
      <c r="G592" s="194">
        <f t="shared" si="132"/>
        <v>10000</v>
      </c>
      <c r="H592" s="221"/>
      <c r="I592" s="221"/>
      <c r="J592" s="221"/>
      <c r="K592" s="164">
        <f t="shared" si="133"/>
        <v>10000</v>
      </c>
      <c r="L592" s="368"/>
      <c r="M592" s="105"/>
      <c r="N592" s="204">
        <v>0</v>
      </c>
      <c r="O592" s="9"/>
      <c r="P592" s="67">
        <f t="shared" ref="P592:P595" si="134">M592+N592+O592</f>
        <v>0</v>
      </c>
      <c r="Q592" s="9"/>
      <c r="R592" s="9"/>
      <c r="S592" s="12"/>
      <c r="T592" s="44"/>
      <c r="U592" s="44"/>
      <c r="W592" s="343" t="s">
        <v>472</v>
      </c>
    </row>
    <row r="593" spans="1:23" ht="14.45" customHeight="1" x14ac:dyDescent="0.25">
      <c r="A593" s="144" t="s">
        <v>313</v>
      </c>
      <c r="B593" s="148"/>
      <c r="C593" s="148"/>
      <c r="D593" s="181"/>
      <c r="E593" s="181">
        <v>2100</v>
      </c>
      <c r="F593" s="181"/>
      <c r="G593" s="194">
        <f t="shared" si="132"/>
        <v>2100</v>
      </c>
      <c r="H593" s="221"/>
      <c r="I593" s="221"/>
      <c r="J593" s="221"/>
      <c r="K593" s="164">
        <f t="shared" si="133"/>
        <v>1600</v>
      </c>
      <c r="L593" s="368"/>
      <c r="M593" s="105"/>
      <c r="N593" s="105">
        <v>500</v>
      </c>
      <c r="O593" s="9"/>
      <c r="P593" s="67">
        <f t="shared" si="134"/>
        <v>500</v>
      </c>
      <c r="Q593" s="9"/>
      <c r="R593" s="9"/>
      <c r="S593" s="12"/>
      <c r="T593" s="44"/>
      <c r="U593" s="44"/>
    </row>
    <row r="594" spans="1:23" ht="14.45" customHeight="1" x14ac:dyDescent="0.25">
      <c r="A594" s="144" t="s">
        <v>314</v>
      </c>
      <c r="B594" s="148"/>
      <c r="C594" s="148"/>
      <c r="D594" s="181"/>
      <c r="E594" s="181"/>
      <c r="F594" s="181"/>
      <c r="G594" s="194">
        <f t="shared" si="132"/>
        <v>0</v>
      </c>
      <c r="H594" s="221"/>
      <c r="I594" s="221"/>
      <c r="J594" s="221"/>
      <c r="K594" s="164">
        <f t="shared" si="133"/>
        <v>-1550</v>
      </c>
      <c r="L594" s="368"/>
      <c r="M594" s="105"/>
      <c r="N594" s="105">
        <v>1550</v>
      </c>
      <c r="O594" s="9"/>
      <c r="P594" s="67">
        <f t="shared" si="134"/>
        <v>1550</v>
      </c>
      <c r="Q594" s="9"/>
      <c r="R594" s="9"/>
      <c r="S594" s="12"/>
      <c r="T594" s="44"/>
      <c r="U594" s="44"/>
    </row>
    <row r="595" spans="1:23" ht="16.5" customHeight="1" x14ac:dyDescent="0.25">
      <c r="A595" s="148" t="s">
        <v>315</v>
      </c>
      <c r="B595" s="148"/>
      <c r="C595" s="148"/>
      <c r="D595" s="164"/>
      <c r="E595" s="164"/>
      <c r="F595" s="164"/>
      <c r="G595" s="194">
        <f t="shared" si="132"/>
        <v>0</v>
      </c>
      <c r="H595" s="218"/>
      <c r="I595" s="218"/>
      <c r="J595" s="218"/>
      <c r="K595" s="164">
        <f t="shared" si="133"/>
        <v>-1000</v>
      </c>
      <c r="L595" s="364"/>
      <c r="M595" s="105"/>
      <c r="N595" s="105">
        <v>1000</v>
      </c>
      <c r="O595" s="9"/>
      <c r="P595" s="67">
        <f t="shared" si="134"/>
        <v>1000</v>
      </c>
      <c r="Q595" s="9"/>
      <c r="R595" s="9"/>
      <c r="S595" s="12">
        <v>1500</v>
      </c>
      <c r="T595" s="44">
        <v>2500</v>
      </c>
      <c r="U595" s="44">
        <v>988.71</v>
      </c>
    </row>
    <row r="596" spans="1:23" ht="18.2" customHeight="1" x14ac:dyDescent="0.25">
      <c r="A596" s="151" t="s">
        <v>316</v>
      </c>
      <c r="B596" s="550"/>
      <c r="C596" s="550"/>
      <c r="D596" s="191">
        <f t="shared" ref="D596:G596" si="135">SUM(D590:D595)</f>
        <v>0</v>
      </c>
      <c r="E596" s="191">
        <f t="shared" si="135"/>
        <v>54450</v>
      </c>
      <c r="F596" s="191">
        <f t="shared" si="135"/>
        <v>10000</v>
      </c>
      <c r="G596" s="191">
        <f t="shared" si="135"/>
        <v>64450</v>
      </c>
      <c r="H596" s="229"/>
      <c r="I596" s="240"/>
      <c r="J596" s="229"/>
      <c r="K596" s="240">
        <f>SUM(K590:K595)</f>
        <v>10300</v>
      </c>
      <c r="L596" s="338"/>
      <c r="M596" s="210">
        <f>SUM(M590:M595)</f>
        <v>0</v>
      </c>
      <c r="N596" s="210">
        <f t="shared" ref="N596:O596" si="136">SUM(N590:N595)</f>
        <v>54150</v>
      </c>
      <c r="O596" s="106">
        <f t="shared" si="136"/>
        <v>0</v>
      </c>
      <c r="P596" s="106">
        <f>SUM(M596:O596)</f>
        <v>54150</v>
      </c>
      <c r="Q596" s="107">
        <f>P596/P49</f>
        <v>8.1986325014080756E-3</v>
      </c>
      <c r="R596" s="108">
        <f>P596-S596</f>
        <v>1550</v>
      </c>
      <c r="S596" s="109">
        <f t="shared" ref="S596:U596" si="137">SUM(S590:S595)</f>
        <v>52600</v>
      </c>
      <c r="T596" s="110">
        <f t="shared" si="137"/>
        <v>53600</v>
      </c>
      <c r="U596" s="111">
        <f t="shared" si="137"/>
        <v>52088.71</v>
      </c>
    </row>
    <row r="597" spans="1:23" ht="15" customHeight="1" x14ac:dyDescent="0.25">
      <c r="A597" s="502"/>
      <c r="B597" s="551"/>
      <c r="C597" s="551"/>
      <c r="D597" s="503"/>
      <c r="E597" s="503"/>
      <c r="F597" s="503"/>
      <c r="G597" s="503"/>
      <c r="H597" s="504"/>
      <c r="I597" s="504"/>
      <c r="J597" s="504"/>
      <c r="K597" s="504"/>
      <c r="L597" s="505"/>
      <c r="M597" s="506"/>
      <c r="N597" s="507"/>
      <c r="O597" s="507"/>
      <c r="P597" s="507"/>
      <c r="Q597" s="508"/>
      <c r="R597" s="509"/>
      <c r="S597" s="510"/>
      <c r="T597" s="511"/>
      <c r="U597" s="512"/>
    </row>
    <row r="598" spans="1:23" ht="30.75" customHeight="1" x14ac:dyDescent="0.25">
      <c r="A598" s="146" t="s">
        <v>317</v>
      </c>
      <c r="B598" s="146"/>
      <c r="C598" s="146"/>
      <c r="D598" s="146"/>
      <c r="E598" s="146"/>
      <c r="F598" s="146"/>
      <c r="G598" s="425"/>
      <c r="H598" s="146"/>
      <c r="I598" s="146"/>
      <c r="J598" s="146"/>
      <c r="K598" s="501"/>
      <c r="L598" s="326"/>
      <c r="M598" s="305"/>
      <c r="N598" s="78"/>
      <c r="O598" s="78"/>
      <c r="P598" s="53"/>
      <c r="Q598" s="53"/>
      <c r="R598" s="147"/>
      <c r="S598" s="147"/>
      <c r="T598" s="54"/>
      <c r="U598" s="54"/>
    </row>
    <row r="599" spans="1:23" ht="14.45" customHeight="1" x14ac:dyDescent="0.25">
      <c r="A599" s="148" t="s">
        <v>73</v>
      </c>
      <c r="B599" s="148"/>
      <c r="C599" s="148"/>
      <c r="D599" s="164">
        <v>0</v>
      </c>
      <c r="E599" s="164"/>
      <c r="F599" s="164"/>
      <c r="G599" s="194">
        <f t="shared" ref="G599:G609" si="138">+F599+E599+D599</f>
        <v>0</v>
      </c>
      <c r="H599" s="218"/>
      <c r="I599" s="218"/>
      <c r="J599" s="218"/>
      <c r="K599" s="164">
        <f t="shared" ref="K599:K609" si="139">+G599-P599</f>
        <v>-87722</v>
      </c>
      <c r="L599" s="364"/>
      <c r="M599" s="105"/>
      <c r="N599" s="204">
        <v>87722</v>
      </c>
      <c r="O599" s="9"/>
      <c r="P599" s="67">
        <f>M599+N599+O599</f>
        <v>87722</v>
      </c>
      <c r="Q599" s="9"/>
      <c r="R599" s="9"/>
      <c r="S599" s="12">
        <v>89534</v>
      </c>
      <c r="T599" s="44">
        <v>51504</v>
      </c>
      <c r="U599" s="44">
        <v>-281.63</v>
      </c>
      <c r="W599" s="343" t="s">
        <v>471</v>
      </c>
    </row>
    <row r="600" spans="1:23" ht="14.45" customHeight="1" x14ac:dyDescent="0.25">
      <c r="A600" s="148" t="s">
        <v>318</v>
      </c>
      <c r="B600" s="148"/>
      <c r="C600" s="148"/>
      <c r="D600" s="164">
        <v>0</v>
      </c>
      <c r="E600" s="164"/>
      <c r="F600" s="164"/>
      <c r="G600" s="194">
        <f t="shared" si="138"/>
        <v>0</v>
      </c>
      <c r="H600" s="218"/>
      <c r="I600" s="218"/>
      <c r="J600" s="218"/>
      <c r="K600" s="164">
        <f t="shared" si="139"/>
        <v>-57000</v>
      </c>
      <c r="L600" s="364"/>
      <c r="M600" s="105"/>
      <c r="N600" s="105"/>
      <c r="O600" s="112">
        <v>57000</v>
      </c>
      <c r="P600" s="67">
        <f t="shared" ref="P600:P609" si="140">M600+N600+O600</f>
        <v>57000</v>
      </c>
      <c r="Q600" s="9"/>
      <c r="R600" s="9"/>
      <c r="S600" s="12">
        <v>108453</v>
      </c>
      <c r="T600" s="44">
        <v>0</v>
      </c>
      <c r="U600" s="44">
        <v>0</v>
      </c>
    </row>
    <row r="601" spans="1:23" ht="14.45" customHeight="1" x14ac:dyDescent="0.25">
      <c r="A601" s="148" t="s">
        <v>319</v>
      </c>
      <c r="B601" s="148"/>
      <c r="C601" s="148"/>
      <c r="D601" s="164">
        <v>0</v>
      </c>
      <c r="E601" s="164"/>
      <c r="F601" s="164"/>
      <c r="G601" s="194">
        <f t="shared" si="138"/>
        <v>0</v>
      </c>
      <c r="H601" s="218"/>
      <c r="I601" s="218"/>
      <c r="J601" s="218"/>
      <c r="K601" s="164">
        <f t="shared" si="139"/>
        <v>-62278</v>
      </c>
      <c r="L601" s="364"/>
      <c r="M601" s="105"/>
      <c r="N601" s="105">
        <v>62278</v>
      </c>
      <c r="O601" s="67"/>
      <c r="P601" s="67">
        <f t="shared" si="140"/>
        <v>62278</v>
      </c>
      <c r="Q601" s="9"/>
      <c r="R601" s="9"/>
      <c r="S601" s="12">
        <v>60466</v>
      </c>
      <c r="T601" s="44">
        <v>0</v>
      </c>
      <c r="U601" s="44">
        <v>53607.81</v>
      </c>
    </row>
    <row r="602" spans="1:23" ht="14.45" hidden="1" customHeight="1" x14ac:dyDescent="0.25">
      <c r="A602" s="148" t="s">
        <v>163</v>
      </c>
      <c r="B602" s="148"/>
      <c r="C602" s="148"/>
      <c r="D602" s="164"/>
      <c r="E602" s="164"/>
      <c r="F602" s="164"/>
      <c r="G602" s="194">
        <f t="shared" si="138"/>
        <v>0</v>
      </c>
      <c r="H602" s="218"/>
      <c r="I602" s="234"/>
      <c r="J602" s="234"/>
      <c r="K602" s="164">
        <f t="shared" si="139"/>
        <v>0</v>
      </c>
      <c r="L602" s="319"/>
      <c r="M602" s="105"/>
      <c r="N602" s="105"/>
      <c r="O602" s="9"/>
      <c r="P602" s="67">
        <f t="shared" si="140"/>
        <v>0</v>
      </c>
      <c r="Q602" s="9"/>
      <c r="R602" s="9"/>
      <c r="S602" s="12">
        <v>0</v>
      </c>
      <c r="T602" s="44">
        <v>1349</v>
      </c>
      <c r="U602" s="44">
        <v>337.15</v>
      </c>
    </row>
    <row r="603" spans="1:23" ht="14.45" hidden="1" customHeight="1" x14ac:dyDescent="0.25">
      <c r="A603" s="148" t="s">
        <v>84</v>
      </c>
      <c r="B603" s="148"/>
      <c r="C603" s="148"/>
      <c r="D603" s="164"/>
      <c r="E603" s="164"/>
      <c r="F603" s="164"/>
      <c r="G603" s="194">
        <f t="shared" si="138"/>
        <v>0</v>
      </c>
      <c r="H603" s="218"/>
      <c r="I603" s="234"/>
      <c r="J603" s="234"/>
      <c r="K603" s="164">
        <f t="shared" si="139"/>
        <v>0</v>
      </c>
      <c r="L603" s="319"/>
      <c r="M603" s="105"/>
      <c r="N603" s="105"/>
      <c r="O603" s="9"/>
      <c r="P603" s="67">
        <f t="shared" si="140"/>
        <v>0</v>
      </c>
      <c r="Q603" s="9"/>
      <c r="R603" s="9"/>
      <c r="S603" s="12">
        <v>0</v>
      </c>
      <c r="T603" s="44">
        <v>321</v>
      </c>
      <c r="U603" s="44">
        <v>0</v>
      </c>
    </row>
    <row r="604" spans="1:23" ht="14.45" hidden="1" customHeight="1" x14ac:dyDescent="0.25">
      <c r="A604" s="148" t="s">
        <v>57</v>
      </c>
      <c r="B604" s="148"/>
      <c r="C604" s="148"/>
      <c r="D604" s="164"/>
      <c r="E604" s="164"/>
      <c r="F604" s="164"/>
      <c r="G604" s="194">
        <f t="shared" si="138"/>
        <v>0</v>
      </c>
      <c r="H604" s="218"/>
      <c r="I604" s="234"/>
      <c r="J604" s="234"/>
      <c r="K604" s="164">
        <f t="shared" si="139"/>
        <v>0</v>
      </c>
      <c r="L604" s="319"/>
      <c r="M604" s="105"/>
      <c r="N604" s="105"/>
      <c r="O604" s="9"/>
      <c r="P604" s="67">
        <f t="shared" si="140"/>
        <v>0</v>
      </c>
      <c r="Q604" s="9"/>
      <c r="R604" s="9"/>
      <c r="S604" s="12">
        <v>0</v>
      </c>
      <c r="T604" s="44">
        <v>0</v>
      </c>
      <c r="U604" s="44">
        <v>76.5</v>
      </c>
    </row>
    <row r="605" spans="1:23" ht="14.45" hidden="1" customHeight="1" x14ac:dyDescent="0.25">
      <c r="A605" s="148" t="s">
        <v>59</v>
      </c>
      <c r="B605" s="148"/>
      <c r="C605" s="148"/>
      <c r="D605" s="164"/>
      <c r="E605" s="164"/>
      <c r="F605" s="164"/>
      <c r="G605" s="194">
        <f t="shared" si="138"/>
        <v>0</v>
      </c>
      <c r="H605" s="218"/>
      <c r="I605" s="234"/>
      <c r="J605" s="234"/>
      <c r="K605" s="164">
        <f t="shared" si="139"/>
        <v>0</v>
      </c>
      <c r="L605" s="319"/>
      <c r="M605" s="105"/>
      <c r="N605" s="105"/>
      <c r="O605" s="9"/>
      <c r="P605" s="67">
        <f t="shared" si="140"/>
        <v>0</v>
      </c>
      <c r="Q605" s="9"/>
      <c r="R605" s="9"/>
      <c r="S605" s="12">
        <v>0</v>
      </c>
      <c r="T605" s="44">
        <v>3416</v>
      </c>
      <c r="U605" s="44">
        <v>3415.98</v>
      </c>
    </row>
    <row r="606" spans="1:23" ht="14.45" hidden="1" customHeight="1" x14ac:dyDescent="0.25">
      <c r="A606" s="148" t="s">
        <v>60</v>
      </c>
      <c r="B606" s="148"/>
      <c r="C606" s="148"/>
      <c r="D606" s="164"/>
      <c r="E606" s="164"/>
      <c r="F606" s="164"/>
      <c r="G606" s="194">
        <f t="shared" si="138"/>
        <v>0</v>
      </c>
      <c r="H606" s="218"/>
      <c r="I606" s="234"/>
      <c r="J606" s="234"/>
      <c r="K606" s="164">
        <f t="shared" si="139"/>
        <v>0</v>
      </c>
      <c r="L606" s="319"/>
      <c r="M606" s="105"/>
      <c r="N606" s="105"/>
      <c r="O606" s="9"/>
      <c r="P606" s="67">
        <f t="shared" si="140"/>
        <v>0</v>
      </c>
      <c r="Q606" s="9"/>
      <c r="R606" s="9"/>
      <c r="S606" s="12">
        <v>0</v>
      </c>
      <c r="T606" s="44">
        <v>211</v>
      </c>
      <c r="U606" s="44">
        <v>36.08</v>
      </c>
    </row>
    <row r="607" spans="1:23" ht="14.45" hidden="1" customHeight="1" x14ac:dyDescent="0.25">
      <c r="A607" s="148" t="s">
        <v>164</v>
      </c>
      <c r="B607" s="148"/>
      <c r="C607" s="148"/>
      <c r="D607" s="164"/>
      <c r="E607" s="164"/>
      <c r="F607" s="164"/>
      <c r="G607" s="194">
        <f t="shared" si="138"/>
        <v>0</v>
      </c>
      <c r="H607" s="218"/>
      <c r="I607" s="234"/>
      <c r="J607" s="234"/>
      <c r="K607" s="164">
        <f t="shared" si="139"/>
        <v>0</v>
      </c>
      <c r="L607" s="319"/>
      <c r="M607" s="105"/>
      <c r="N607" s="105"/>
      <c r="O607" s="9"/>
      <c r="P607" s="67">
        <f t="shared" si="140"/>
        <v>0</v>
      </c>
      <c r="Q607" s="9"/>
      <c r="R607" s="9"/>
      <c r="S607" s="12">
        <v>0</v>
      </c>
      <c r="T607" s="44">
        <v>0</v>
      </c>
      <c r="U607" s="44">
        <v>105.63</v>
      </c>
    </row>
    <row r="608" spans="1:23" ht="14.45" hidden="1" customHeight="1" x14ac:dyDescent="0.25">
      <c r="A608" s="148" t="s">
        <v>64</v>
      </c>
      <c r="B608" s="148"/>
      <c r="C608" s="148"/>
      <c r="D608" s="164"/>
      <c r="E608" s="164"/>
      <c r="F608" s="164"/>
      <c r="G608" s="194">
        <f t="shared" si="138"/>
        <v>0</v>
      </c>
      <c r="H608" s="218"/>
      <c r="I608" s="234"/>
      <c r="J608" s="234"/>
      <c r="K608" s="164">
        <f t="shared" si="139"/>
        <v>0</v>
      </c>
      <c r="L608" s="319"/>
      <c r="M608" s="105"/>
      <c r="N608" s="105"/>
      <c r="O608" s="9"/>
      <c r="P608" s="67">
        <f t="shared" si="140"/>
        <v>0</v>
      </c>
      <c r="Q608" s="9"/>
      <c r="R608" s="9"/>
      <c r="S608" s="12">
        <v>0</v>
      </c>
      <c r="T608" s="44">
        <v>0</v>
      </c>
      <c r="U608" s="44">
        <v>374.93</v>
      </c>
    </row>
    <row r="609" spans="1:21" ht="14.45" customHeight="1" x14ac:dyDescent="0.25">
      <c r="A609" s="148" t="s">
        <v>65</v>
      </c>
      <c r="B609" s="148"/>
      <c r="C609" s="144"/>
      <c r="D609" s="164">
        <v>0</v>
      </c>
      <c r="E609" s="164"/>
      <c r="F609" s="164"/>
      <c r="G609" s="164">
        <f t="shared" si="138"/>
        <v>0</v>
      </c>
      <c r="H609" s="218"/>
      <c r="I609" s="234"/>
      <c r="J609" s="218"/>
      <c r="K609" s="164">
        <f t="shared" si="139"/>
        <v>-20000</v>
      </c>
      <c r="L609" s="319"/>
      <c r="M609" s="105"/>
      <c r="N609" s="204"/>
      <c r="O609" s="112">
        <v>20000</v>
      </c>
      <c r="P609" s="67">
        <f t="shared" si="140"/>
        <v>20000</v>
      </c>
      <c r="Q609" s="9"/>
      <c r="R609" s="9"/>
      <c r="S609" s="12">
        <v>20000</v>
      </c>
      <c r="T609" s="44">
        <v>7500</v>
      </c>
      <c r="U609" s="44">
        <v>3916.86</v>
      </c>
    </row>
    <row r="610" spans="1:21" ht="14.45" customHeight="1" x14ac:dyDescent="0.25">
      <c r="A610" s="293" t="s">
        <v>320</v>
      </c>
      <c r="B610" s="293"/>
      <c r="C610" s="561"/>
      <c r="D610" s="176">
        <f t="shared" ref="D610:G610" si="141">SUM(D599:D609)</f>
        <v>0</v>
      </c>
      <c r="E610" s="176">
        <f t="shared" si="141"/>
        <v>0</v>
      </c>
      <c r="F610" s="176">
        <f t="shared" si="141"/>
        <v>0</v>
      </c>
      <c r="G610" s="176">
        <f t="shared" si="141"/>
        <v>0</v>
      </c>
      <c r="H610" s="224"/>
      <c r="I610" s="237"/>
      <c r="J610" s="224"/>
      <c r="K610" s="237">
        <f>+G610-P610</f>
        <v>-227000</v>
      </c>
      <c r="L610" s="327"/>
      <c r="M610" s="205">
        <f>SUM(M599:M609)</f>
        <v>0</v>
      </c>
      <c r="N610" s="205">
        <f t="shared" ref="N610:O610" si="142">SUM(N599:N609)</f>
        <v>150000</v>
      </c>
      <c r="O610" s="45">
        <f t="shared" si="142"/>
        <v>77000</v>
      </c>
      <c r="P610" s="45">
        <f>SUM(M610:O610)</f>
        <v>227000</v>
      </c>
      <c r="Q610" s="60">
        <f>P610/P49</f>
        <v>3.4369151944960909E-2</v>
      </c>
      <c r="R610" s="48">
        <f>P610-S610</f>
        <v>-51453</v>
      </c>
      <c r="S610" s="32">
        <f>SUM(S599:S609)</f>
        <v>278453</v>
      </c>
      <c r="T610" s="49">
        <v>64301</v>
      </c>
      <c r="U610" s="49">
        <v>61589.31</v>
      </c>
    </row>
    <row r="611" spans="1:21" ht="9.9499999999999993" customHeight="1" x14ac:dyDescent="0.25">
      <c r="A611" s="61"/>
      <c r="B611" s="69"/>
      <c r="C611" s="69"/>
      <c r="D611" s="276"/>
      <c r="E611" s="276"/>
      <c r="F611" s="276"/>
      <c r="G611" s="276"/>
      <c r="H611" s="212"/>
      <c r="I611" s="212"/>
      <c r="J611" s="212"/>
      <c r="K611" s="212"/>
      <c r="L611" s="328"/>
      <c r="M611" s="51"/>
      <c r="N611" s="51"/>
      <c r="O611" s="51"/>
      <c r="P611" s="61"/>
      <c r="Q611" s="61"/>
      <c r="R611" s="68"/>
      <c r="S611" s="113"/>
      <c r="T611" s="69"/>
      <c r="U611" s="69"/>
    </row>
    <row r="612" spans="1:21" s="593" customFormat="1" ht="41.1" customHeight="1" x14ac:dyDescent="0.25">
      <c r="A612" s="583" t="s">
        <v>321</v>
      </c>
      <c r="B612" s="583"/>
      <c r="C612" s="583"/>
      <c r="D612" s="584">
        <f t="shared" ref="D612:F612" si="143">D566+D575+D583+D587+D596+D610</f>
        <v>148603</v>
      </c>
      <c r="E612" s="584">
        <f t="shared" si="143"/>
        <v>84347</v>
      </c>
      <c r="F612" s="584">
        <f t="shared" si="143"/>
        <v>112650</v>
      </c>
      <c r="G612" s="584">
        <f>G566+G575+G583+G587+G596+G610</f>
        <v>345600</v>
      </c>
      <c r="H612" s="585"/>
      <c r="I612" s="586">
        <f>+G612/G$786</f>
        <v>6.2379668822962753E-2</v>
      </c>
      <c r="J612" s="585"/>
      <c r="K612" s="584">
        <f>K566+K575+K583+K587+K596+K610</f>
        <v>-422050</v>
      </c>
      <c r="L612" s="587"/>
      <c r="M612" s="588">
        <f>M566+M575+M583+M587+M596+M610</f>
        <v>125000</v>
      </c>
      <c r="N612" s="588">
        <f>N566+N575+N583+N587+N596+N610</f>
        <v>441150</v>
      </c>
      <c r="O612" s="589">
        <f>O566+O575+O583+O587+O596+O610</f>
        <v>201500</v>
      </c>
      <c r="P612" s="589">
        <f>P566+P575+P583+P587+P596+P610</f>
        <v>767650</v>
      </c>
      <c r="Q612" s="590">
        <f>P612/P49</f>
        <v>0.11622678189669269</v>
      </c>
      <c r="R612" s="591">
        <f>P612-S612</f>
        <v>-106253</v>
      </c>
      <c r="S612" s="592">
        <f>S566+S575+S583+S587+S596+S610</f>
        <v>873903</v>
      </c>
      <c r="T612" s="592">
        <f>T566+T575+T583+T587+T596+T610</f>
        <v>664742</v>
      </c>
      <c r="U612" s="592">
        <f>U566+U575+U583+U587+U596+U610</f>
        <v>557877.19999999995</v>
      </c>
    </row>
    <row r="613" spans="1:21" ht="30" customHeight="1" x14ac:dyDescent="0.25">
      <c r="A613" s="69"/>
      <c r="B613" s="69"/>
      <c r="C613" s="69"/>
      <c r="D613" s="189"/>
      <c r="E613" s="189"/>
      <c r="F613" s="189"/>
      <c r="G613" s="189"/>
      <c r="H613" s="213"/>
      <c r="I613" s="213"/>
      <c r="J613" s="213"/>
      <c r="K613" s="213"/>
      <c r="L613" s="333"/>
      <c r="M613" s="86"/>
      <c r="N613" s="86"/>
      <c r="O613" s="86"/>
      <c r="P613" s="69"/>
      <c r="Q613" s="69"/>
      <c r="R613" s="87"/>
      <c r="S613" s="93"/>
      <c r="T613" s="93"/>
      <c r="U613" s="93"/>
    </row>
    <row r="614" spans="1:21" ht="34.5" customHeight="1" x14ac:dyDescent="0.25">
      <c r="A614" s="52" t="s">
        <v>322</v>
      </c>
      <c r="B614" s="146"/>
      <c r="C614" s="146"/>
      <c r="D614" s="52"/>
      <c r="E614" s="52"/>
      <c r="F614" s="52"/>
      <c r="G614" s="52"/>
      <c r="H614" s="52"/>
      <c r="I614" s="52"/>
      <c r="J614" s="52"/>
      <c r="K614" s="52"/>
      <c r="L614" s="323"/>
      <c r="M614" s="305"/>
      <c r="N614" s="78"/>
      <c r="O614" s="78"/>
      <c r="P614" s="53"/>
      <c r="Q614" s="53"/>
      <c r="R614" s="147"/>
      <c r="S614" s="147"/>
      <c r="T614" s="54"/>
      <c r="U614" s="54"/>
    </row>
    <row r="615" spans="1:21" ht="14.45" customHeight="1" x14ac:dyDescent="0.25">
      <c r="A615" s="148" t="s">
        <v>323</v>
      </c>
      <c r="B615" s="148"/>
      <c r="C615" s="148"/>
      <c r="D615" s="254">
        <v>0</v>
      </c>
      <c r="E615" s="181"/>
      <c r="F615" s="181">
        <v>0</v>
      </c>
      <c r="G615" s="200">
        <f>+F615+E615+D615</f>
        <v>0</v>
      </c>
      <c r="H615" s="221"/>
      <c r="I615" s="442"/>
      <c r="J615" s="442"/>
      <c r="K615" s="164">
        <f t="shared" ref="K615:K618" si="144">+G615-P615</f>
        <v>-100</v>
      </c>
      <c r="L615" s="368"/>
      <c r="M615" s="204">
        <v>100</v>
      </c>
      <c r="N615" s="204"/>
      <c r="O615" s="67"/>
      <c r="P615" s="67">
        <f>M615+N615+O615</f>
        <v>100</v>
      </c>
      <c r="Q615" s="9"/>
      <c r="R615" s="9"/>
      <c r="S615" s="12"/>
      <c r="T615" s="44">
        <v>0</v>
      </c>
      <c r="U615" s="44">
        <v>75</v>
      </c>
    </row>
    <row r="616" spans="1:21" ht="14.45" customHeight="1" x14ac:dyDescent="0.25">
      <c r="A616" s="148" t="s">
        <v>324</v>
      </c>
      <c r="B616" s="148"/>
      <c r="C616" s="148"/>
      <c r="D616" s="254">
        <v>0</v>
      </c>
      <c r="E616" s="181"/>
      <c r="F616" s="181">
        <v>0</v>
      </c>
      <c r="G616" s="200">
        <f>+F616+E616+D616</f>
        <v>0</v>
      </c>
      <c r="H616" s="221"/>
      <c r="I616" s="442"/>
      <c r="J616" s="442"/>
      <c r="K616" s="164">
        <f t="shared" si="144"/>
        <v>-1000</v>
      </c>
      <c r="L616" s="368"/>
      <c r="M616" s="204">
        <v>1000</v>
      </c>
      <c r="N616" s="204"/>
      <c r="O616" s="67"/>
      <c r="P616" s="67">
        <f t="shared" ref="P616:P618" si="145">M616+N616+O616</f>
        <v>1000</v>
      </c>
      <c r="Q616" s="9"/>
      <c r="R616" s="9"/>
      <c r="S616" s="12"/>
      <c r="T616" s="44">
        <v>0</v>
      </c>
      <c r="U616" s="44">
        <v>345.7</v>
      </c>
    </row>
    <row r="617" spans="1:21" ht="14.45" customHeight="1" x14ac:dyDescent="0.25">
      <c r="A617" s="148" t="s">
        <v>325</v>
      </c>
      <c r="B617" s="148"/>
      <c r="C617" s="148"/>
      <c r="D617" s="254">
        <v>0</v>
      </c>
      <c r="E617" s="181"/>
      <c r="F617" s="181">
        <v>0</v>
      </c>
      <c r="G617" s="200">
        <f>+F617+E617+D617</f>
        <v>0</v>
      </c>
      <c r="H617" s="221"/>
      <c r="I617" s="442"/>
      <c r="J617" s="442"/>
      <c r="K617" s="164">
        <f t="shared" si="144"/>
        <v>-2000</v>
      </c>
      <c r="L617" s="368"/>
      <c r="M617" s="204">
        <v>2000</v>
      </c>
      <c r="N617" s="204"/>
      <c r="O617" s="67"/>
      <c r="P617" s="67">
        <f t="shared" si="145"/>
        <v>2000</v>
      </c>
      <c r="Q617" s="9"/>
      <c r="R617" s="9"/>
      <c r="S617" s="12"/>
      <c r="T617" s="44">
        <v>5000</v>
      </c>
      <c r="U617" s="44">
        <v>0</v>
      </c>
    </row>
    <row r="618" spans="1:21" ht="14.45" customHeight="1" x14ac:dyDescent="0.25">
      <c r="A618" s="148" t="s">
        <v>326</v>
      </c>
      <c r="B618" s="148"/>
      <c r="C618" s="148"/>
      <c r="D618" s="254">
        <v>9400</v>
      </c>
      <c r="E618" s="181"/>
      <c r="F618" s="181">
        <v>0</v>
      </c>
      <c r="G618" s="200">
        <f>+F618+E618+D618</f>
        <v>9400</v>
      </c>
      <c r="H618" s="221"/>
      <c r="I618" s="442"/>
      <c r="J618" s="442"/>
      <c r="K618" s="164">
        <f t="shared" si="144"/>
        <v>628</v>
      </c>
      <c r="L618" s="368"/>
      <c r="M618" s="204">
        <v>8772</v>
      </c>
      <c r="N618" s="204"/>
      <c r="O618" s="67"/>
      <c r="P618" s="67">
        <f t="shared" si="145"/>
        <v>8772</v>
      </c>
      <c r="Q618" s="9"/>
      <c r="R618" s="9"/>
      <c r="S618" s="12">
        <v>8955</v>
      </c>
      <c r="T618" s="44">
        <v>6089.67</v>
      </c>
      <c r="U618" s="44">
        <v>6090</v>
      </c>
    </row>
    <row r="619" spans="1:21" ht="14.45" customHeight="1" x14ac:dyDescent="0.25">
      <c r="A619" s="142" t="s">
        <v>327</v>
      </c>
      <c r="B619" s="293"/>
      <c r="C619" s="293"/>
      <c r="D619" s="294">
        <f t="shared" ref="D619:G619" si="146">SUM(D615:D618)</f>
        <v>9400</v>
      </c>
      <c r="E619" s="176">
        <f t="shared" si="146"/>
        <v>0</v>
      </c>
      <c r="F619" s="176">
        <f t="shared" si="146"/>
        <v>0</v>
      </c>
      <c r="G619" s="176">
        <f t="shared" si="146"/>
        <v>9400</v>
      </c>
      <c r="H619" s="224"/>
      <c r="I619" s="224"/>
      <c r="J619" s="224"/>
      <c r="K619" s="224">
        <f>SUM(K615:K618)</f>
        <v>-2472</v>
      </c>
      <c r="L619" s="365"/>
      <c r="M619" s="205">
        <f>SUM(M615:M618)</f>
        <v>11872</v>
      </c>
      <c r="N619" s="205">
        <f t="shared" ref="N619:O619" si="147">SUM(N615:N618)</f>
        <v>0</v>
      </c>
      <c r="O619" s="45">
        <f t="shared" si="147"/>
        <v>0</v>
      </c>
      <c r="P619" s="45">
        <f>SUM(M619:O619)</f>
        <v>11872</v>
      </c>
      <c r="Q619" s="60">
        <f>P619/P49</f>
        <v>1.7974915061258849E-3</v>
      </c>
      <c r="R619" s="48">
        <f>P619-S619</f>
        <v>2917</v>
      </c>
      <c r="S619" s="32">
        <f>SUM(S615:S618)</f>
        <v>8955</v>
      </c>
      <c r="T619" s="49">
        <f>SUM(T615:T618)</f>
        <v>11089.67</v>
      </c>
      <c r="U619" s="49">
        <f>SUM(U615:U618)</f>
        <v>6510.7</v>
      </c>
    </row>
    <row r="620" spans="1:21" ht="15" customHeight="1" x14ac:dyDescent="0.25">
      <c r="A620" s="61"/>
      <c r="B620" s="69"/>
      <c r="C620" s="69"/>
      <c r="D620" s="178"/>
      <c r="E620" s="178"/>
      <c r="F620" s="178"/>
      <c r="G620" s="178"/>
      <c r="H620" s="212"/>
      <c r="I620" s="212"/>
      <c r="J620" s="212"/>
      <c r="K620" s="212"/>
      <c r="L620" s="328"/>
      <c r="M620" s="51"/>
      <c r="N620" s="51"/>
      <c r="O620" s="51"/>
      <c r="P620" s="61"/>
      <c r="Q620" s="61"/>
      <c r="R620" s="68"/>
      <c r="S620" s="69"/>
      <c r="T620" s="69"/>
      <c r="U620" s="69"/>
    </row>
    <row r="621" spans="1:21" ht="30" customHeight="1" x14ac:dyDescent="0.25">
      <c r="A621" s="146" t="s">
        <v>328</v>
      </c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326"/>
      <c r="M621" s="305"/>
      <c r="N621" s="53"/>
      <c r="O621" s="53"/>
      <c r="P621" s="53"/>
      <c r="Q621" s="53"/>
      <c r="R621" s="147"/>
      <c r="S621" s="147"/>
      <c r="T621" s="54"/>
      <c r="U621" s="54"/>
    </row>
    <row r="622" spans="1:21" ht="15" customHeight="1" x14ac:dyDescent="0.25">
      <c r="A622" s="549" t="s">
        <v>329</v>
      </c>
      <c r="B622" s="549"/>
      <c r="C622" s="549"/>
      <c r="D622" s="264">
        <v>0</v>
      </c>
      <c r="E622" s="264"/>
      <c r="F622" s="639">
        <v>0</v>
      </c>
      <c r="G622" s="640">
        <f t="shared" ref="G622:G627" si="148">+F622+E622+D622</f>
        <v>0</v>
      </c>
      <c r="H622" s="265"/>
      <c r="I622" s="265"/>
      <c r="J622" s="265"/>
      <c r="K622" s="264">
        <f t="shared" ref="K622:K627" si="149">+G622-P622</f>
        <v>-8000</v>
      </c>
      <c r="L622" s="378"/>
      <c r="M622" s="300"/>
      <c r="N622" s="315"/>
      <c r="O622" s="641">
        <v>8000</v>
      </c>
      <c r="P622" s="24">
        <f>O622+N622+M622</f>
        <v>8000</v>
      </c>
      <c r="Q622" s="266"/>
      <c r="R622" s="266"/>
      <c r="S622" s="268"/>
      <c r="T622" s="269">
        <v>0</v>
      </c>
      <c r="U622" s="269">
        <v>6623.98</v>
      </c>
    </row>
    <row r="623" spans="1:21" ht="14.45" customHeight="1" x14ac:dyDescent="0.25">
      <c r="A623" s="7" t="s">
        <v>330</v>
      </c>
      <c r="B623" s="148"/>
      <c r="C623" s="148"/>
      <c r="D623" s="164">
        <v>0</v>
      </c>
      <c r="E623" s="164"/>
      <c r="F623" s="181">
        <v>0</v>
      </c>
      <c r="G623" s="200">
        <f t="shared" si="148"/>
        <v>0</v>
      </c>
      <c r="H623" s="218"/>
      <c r="I623" s="218"/>
      <c r="J623" s="218"/>
      <c r="K623" s="164">
        <f t="shared" si="149"/>
        <v>0</v>
      </c>
      <c r="L623" s="364"/>
      <c r="M623" s="300"/>
      <c r="N623" s="105"/>
      <c r="O623" s="114"/>
      <c r="P623" s="67"/>
      <c r="Q623" s="9"/>
      <c r="R623" s="9"/>
      <c r="S623" s="12">
        <v>0</v>
      </c>
      <c r="T623" s="44">
        <v>30000</v>
      </c>
      <c r="U623" s="44">
        <v>0</v>
      </c>
    </row>
    <row r="624" spans="1:21" ht="14.45" customHeight="1" x14ac:dyDescent="0.25">
      <c r="A624" s="7" t="s">
        <v>324</v>
      </c>
      <c r="B624" s="148"/>
      <c r="C624" s="148"/>
      <c r="D624" s="164">
        <v>0</v>
      </c>
      <c r="E624" s="164"/>
      <c r="F624" s="181">
        <v>0</v>
      </c>
      <c r="G624" s="200">
        <f t="shared" si="148"/>
        <v>0</v>
      </c>
      <c r="H624" s="218"/>
      <c r="I624" s="218"/>
      <c r="J624" s="218"/>
      <c r="K624" s="164">
        <f t="shared" si="149"/>
        <v>-15000</v>
      </c>
      <c r="L624" s="364"/>
      <c r="M624" s="300"/>
      <c r="N624" s="105"/>
      <c r="O624" s="114">
        <v>15000</v>
      </c>
      <c r="P624" s="67">
        <f t="shared" ref="P624:P626" si="150">O624+N624+M624</f>
        <v>15000</v>
      </c>
      <c r="Q624" s="9"/>
      <c r="R624" s="9"/>
      <c r="S624" s="12"/>
      <c r="T624" s="44">
        <v>0</v>
      </c>
      <c r="U624" s="44">
        <v>10271.969999999999</v>
      </c>
    </row>
    <row r="625" spans="1:23" ht="14.45" customHeight="1" x14ac:dyDescent="0.25">
      <c r="A625" s="7" t="s">
        <v>331</v>
      </c>
      <c r="B625" s="148"/>
      <c r="C625" s="148"/>
      <c r="D625" s="164">
        <v>0</v>
      </c>
      <c r="E625" s="164"/>
      <c r="F625" s="181">
        <v>0</v>
      </c>
      <c r="G625" s="200">
        <f t="shared" si="148"/>
        <v>0</v>
      </c>
      <c r="H625" s="218"/>
      <c r="I625" s="218"/>
      <c r="J625" s="218"/>
      <c r="K625" s="164">
        <f t="shared" si="149"/>
        <v>-7000</v>
      </c>
      <c r="L625" s="364"/>
      <c r="M625" s="300"/>
      <c r="N625" s="105"/>
      <c r="O625" s="114">
        <v>7000</v>
      </c>
      <c r="P625" s="67">
        <f t="shared" si="150"/>
        <v>7000</v>
      </c>
      <c r="Q625" s="9"/>
      <c r="R625" s="9"/>
      <c r="S625" s="12"/>
      <c r="T625" s="44">
        <v>0</v>
      </c>
      <c r="U625" s="44">
        <v>4546.07</v>
      </c>
    </row>
    <row r="626" spans="1:23" ht="14.45" customHeight="1" x14ac:dyDescent="0.25">
      <c r="A626" s="7" t="s">
        <v>332</v>
      </c>
      <c r="B626" s="148"/>
      <c r="C626" s="148"/>
      <c r="D626" s="164">
        <v>0</v>
      </c>
      <c r="E626" s="164"/>
      <c r="F626" s="181">
        <v>0</v>
      </c>
      <c r="G626" s="200">
        <f t="shared" si="148"/>
        <v>0</v>
      </c>
      <c r="H626" s="218"/>
      <c r="I626" s="218"/>
      <c r="J626" s="218"/>
      <c r="K626" s="164">
        <f t="shared" si="149"/>
        <v>-15000</v>
      </c>
      <c r="L626" s="364"/>
      <c r="M626" s="300"/>
      <c r="N626" s="105"/>
      <c r="O626" s="114">
        <v>15000</v>
      </c>
      <c r="P626" s="67">
        <f t="shared" si="150"/>
        <v>15000</v>
      </c>
      <c r="Q626" s="9"/>
      <c r="R626" s="9"/>
      <c r="S626" s="12"/>
      <c r="T626" s="44">
        <v>95000</v>
      </c>
      <c r="U626" s="44">
        <v>7354.96</v>
      </c>
    </row>
    <row r="627" spans="1:23" x14ac:dyDescent="0.25">
      <c r="A627" s="642" t="s">
        <v>333</v>
      </c>
      <c r="B627" s="549"/>
      <c r="C627" s="549"/>
      <c r="D627" s="264">
        <v>0</v>
      </c>
      <c r="E627" s="264"/>
      <c r="F627" s="643">
        <v>18000</v>
      </c>
      <c r="G627" s="638">
        <f t="shared" si="148"/>
        <v>18000</v>
      </c>
      <c r="H627" s="265"/>
      <c r="I627" s="265"/>
      <c r="J627" s="265"/>
      <c r="K627" s="264">
        <f t="shared" si="149"/>
        <v>18000</v>
      </c>
      <c r="L627" s="378"/>
      <c r="M627" s="315"/>
      <c r="N627" s="315"/>
      <c r="O627" s="266"/>
      <c r="P627" s="266"/>
      <c r="Q627" s="266"/>
      <c r="R627" s="266"/>
      <c r="S627" s="268">
        <v>0</v>
      </c>
      <c r="T627" s="269">
        <v>18000</v>
      </c>
      <c r="U627" s="269">
        <v>0</v>
      </c>
      <c r="W627" s="343" t="s">
        <v>454</v>
      </c>
    </row>
    <row r="628" spans="1:23" ht="14.45" customHeight="1" x14ac:dyDescent="0.25">
      <c r="A628" s="142" t="s">
        <v>334</v>
      </c>
      <c r="B628" s="293"/>
      <c r="C628" s="293"/>
      <c r="D628" s="176">
        <f t="shared" ref="D628:G628" si="151">SUM(D622:D627)</f>
        <v>0</v>
      </c>
      <c r="E628" s="176">
        <f>SUM(E622:E627)</f>
        <v>0</v>
      </c>
      <c r="F628" s="176">
        <f t="shared" si="151"/>
        <v>18000</v>
      </c>
      <c r="G628" s="176">
        <f t="shared" si="151"/>
        <v>18000</v>
      </c>
      <c r="H628" s="224"/>
      <c r="I628" s="224"/>
      <c r="J628" s="224"/>
      <c r="K628" s="224">
        <f>SUM(K622:K627)</f>
        <v>-27000</v>
      </c>
      <c r="L628" s="365"/>
      <c r="M628" s="205">
        <f>SUM(M622:M627)</f>
        <v>0</v>
      </c>
      <c r="N628" s="205">
        <f t="shared" ref="N628" si="152">SUM(N622:N627)</f>
        <v>0</v>
      </c>
      <c r="O628" s="45">
        <f>SUM(O622:O627)</f>
        <v>45000</v>
      </c>
      <c r="P628" s="45">
        <f>SUM(M628:O628)</f>
        <v>45000</v>
      </c>
      <c r="Q628" s="60">
        <f>P628/P49</f>
        <v>6.8132680067103119E-3</v>
      </c>
      <c r="R628" s="48">
        <f>P628-S628</f>
        <v>45000</v>
      </c>
      <c r="S628" s="32">
        <v>0</v>
      </c>
      <c r="T628" s="49">
        <v>143000</v>
      </c>
      <c r="U628" s="49">
        <v>28796.98</v>
      </c>
    </row>
    <row r="629" spans="1:23" ht="15" customHeight="1" x14ac:dyDescent="0.25">
      <c r="A629" s="61"/>
      <c r="B629" s="69"/>
      <c r="C629" s="69"/>
      <c r="D629" s="178"/>
      <c r="E629" s="178"/>
      <c r="F629" s="178"/>
      <c r="G629" s="178"/>
      <c r="H629" s="212"/>
      <c r="I629" s="212"/>
      <c r="J629" s="212"/>
      <c r="K629" s="212"/>
      <c r="L629" s="328"/>
      <c r="M629" s="51"/>
      <c r="N629" s="51"/>
      <c r="O629" s="51"/>
      <c r="P629" s="61"/>
      <c r="Q629" s="61"/>
      <c r="R629" s="68"/>
      <c r="S629" s="69"/>
      <c r="T629" s="69"/>
      <c r="U629" s="69"/>
    </row>
    <row r="630" spans="1:23" ht="32.25" customHeight="1" x14ac:dyDescent="0.25">
      <c r="A630" s="52" t="s">
        <v>335</v>
      </c>
      <c r="B630" s="146"/>
      <c r="C630" s="146"/>
      <c r="D630" s="52"/>
      <c r="E630" s="52"/>
      <c r="F630" s="52"/>
      <c r="G630" s="52"/>
      <c r="H630" s="52"/>
      <c r="I630" s="52"/>
      <c r="J630" s="52"/>
      <c r="K630" s="52"/>
      <c r="L630" s="323"/>
      <c r="M630" s="316"/>
      <c r="N630" s="52"/>
      <c r="O630" s="52"/>
      <c r="P630" s="52"/>
      <c r="Q630" s="52"/>
      <c r="R630" s="52"/>
      <c r="S630" s="52"/>
      <c r="T630" s="52"/>
      <c r="U630" s="52"/>
    </row>
    <row r="631" spans="1:23" ht="14.45" customHeight="1" x14ac:dyDescent="0.25">
      <c r="A631" s="7" t="s">
        <v>324</v>
      </c>
      <c r="B631" s="148"/>
      <c r="C631" s="148"/>
      <c r="D631" s="164">
        <v>6000</v>
      </c>
      <c r="E631" s="164"/>
      <c r="F631" s="164"/>
      <c r="G631" s="194">
        <f t="shared" ref="G631:G637" si="153">+F631+E631+D631</f>
        <v>6000</v>
      </c>
      <c r="H631" s="218"/>
      <c r="I631" s="296"/>
      <c r="J631" s="296"/>
      <c r="K631" s="164">
        <f t="shared" ref="K631:K637" si="154">+G631-P631</f>
        <v>-6000</v>
      </c>
      <c r="L631" s="364"/>
      <c r="M631" s="204">
        <v>12000</v>
      </c>
      <c r="N631" s="105"/>
      <c r="O631" s="9"/>
      <c r="P631" s="67">
        <f>M631+N631+O631</f>
        <v>12000</v>
      </c>
      <c r="Q631" s="9"/>
      <c r="R631" s="9"/>
      <c r="S631" s="12">
        <v>12000</v>
      </c>
      <c r="T631" s="44">
        <v>12000</v>
      </c>
      <c r="U631" s="44">
        <v>0</v>
      </c>
    </row>
    <row r="632" spans="1:23" ht="14.45" customHeight="1" x14ac:dyDescent="0.25">
      <c r="A632" s="7" t="s">
        <v>331</v>
      </c>
      <c r="B632" s="148"/>
      <c r="C632" s="148"/>
      <c r="D632" s="164">
        <v>36000</v>
      </c>
      <c r="E632" s="164"/>
      <c r="F632" s="164"/>
      <c r="G632" s="194">
        <f t="shared" si="153"/>
        <v>36000</v>
      </c>
      <c r="H632" s="218"/>
      <c r="I632" s="296"/>
      <c r="J632" s="296"/>
      <c r="K632" s="164">
        <f t="shared" si="154"/>
        <v>16000</v>
      </c>
      <c r="L632" s="364"/>
      <c r="M632" s="204">
        <v>20000</v>
      </c>
      <c r="N632" s="105"/>
      <c r="O632" s="9"/>
      <c r="P632" s="67">
        <f t="shared" ref="P632:P636" si="155">M632+N632+O632</f>
        <v>20000</v>
      </c>
      <c r="Q632" s="9"/>
      <c r="R632" s="9"/>
      <c r="S632" s="12">
        <v>20000</v>
      </c>
      <c r="T632" s="44">
        <v>20000</v>
      </c>
      <c r="U632" s="44">
        <v>2064.15</v>
      </c>
    </row>
    <row r="633" spans="1:23" ht="14.45" customHeight="1" x14ac:dyDescent="0.25">
      <c r="A633" s="7" t="s">
        <v>332</v>
      </c>
      <c r="B633" s="148"/>
      <c r="C633" s="148"/>
      <c r="D633" s="164">
        <v>2000</v>
      </c>
      <c r="E633" s="164"/>
      <c r="F633" s="164"/>
      <c r="G633" s="194">
        <f t="shared" si="153"/>
        <v>2000</v>
      </c>
      <c r="H633" s="218"/>
      <c r="I633" s="296"/>
      <c r="J633" s="296"/>
      <c r="K633" s="164">
        <f t="shared" si="154"/>
        <v>-8000</v>
      </c>
      <c r="L633" s="364"/>
      <c r="M633" s="204">
        <v>10000</v>
      </c>
      <c r="N633" s="105"/>
      <c r="O633" s="9"/>
      <c r="P633" s="67">
        <f t="shared" si="155"/>
        <v>10000</v>
      </c>
      <c r="Q633" s="9"/>
      <c r="R633" s="9"/>
      <c r="S633" s="12">
        <v>15000</v>
      </c>
      <c r="T633" s="44">
        <v>15000</v>
      </c>
      <c r="U633" s="44">
        <v>0</v>
      </c>
    </row>
    <row r="634" spans="1:23" ht="14.45" customHeight="1" x14ac:dyDescent="0.25">
      <c r="A634" s="7" t="s">
        <v>108</v>
      </c>
      <c r="B634" s="148"/>
      <c r="C634" s="148"/>
      <c r="D634" s="164">
        <v>8000</v>
      </c>
      <c r="E634" s="164"/>
      <c r="F634" s="164"/>
      <c r="G634" s="194">
        <f t="shared" si="153"/>
        <v>8000</v>
      </c>
      <c r="H634" s="218"/>
      <c r="I634" s="296"/>
      <c r="J634" s="296"/>
      <c r="K634" s="164">
        <f t="shared" si="154"/>
        <v>0</v>
      </c>
      <c r="L634" s="364"/>
      <c r="M634" s="204">
        <v>8000</v>
      </c>
      <c r="N634" s="105"/>
      <c r="O634" s="9"/>
      <c r="P634" s="67">
        <f t="shared" si="155"/>
        <v>8000</v>
      </c>
      <c r="Q634" s="9"/>
      <c r="R634" s="9"/>
      <c r="S634" s="12">
        <v>10000</v>
      </c>
      <c r="T634" s="44">
        <v>10000</v>
      </c>
      <c r="U634" s="44">
        <v>6182</v>
      </c>
    </row>
    <row r="635" spans="1:23" ht="14.45" customHeight="1" x14ac:dyDescent="0.25">
      <c r="A635" s="7" t="s">
        <v>336</v>
      </c>
      <c r="B635" s="148"/>
      <c r="C635" s="148"/>
      <c r="D635" s="164">
        <v>5000</v>
      </c>
      <c r="E635" s="164"/>
      <c r="F635" s="164"/>
      <c r="G635" s="194">
        <f t="shared" si="153"/>
        <v>5000</v>
      </c>
      <c r="H635" s="218"/>
      <c r="I635" s="296"/>
      <c r="J635" s="296"/>
      <c r="K635" s="164">
        <f t="shared" si="154"/>
        <v>5000</v>
      </c>
      <c r="L635" s="364"/>
      <c r="M635" s="204"/>
      <c r="N635" s="105"/>
      <c r="O635" s="9"/>
      <c r="P635" s="67">
        <f t="shared" si="155"/>
        <v>0</v>
      </c>
      <c r="Q635" s="9"/>
      <c r="R635" s="9"/>
      <c r="S635" s="12">
        <v>0</v>
      </c>
      <c r="T635" s="44">
        <v>0</v>
      </c>
      <c r="U635" s="44">
        <v>271.68</v>
      </c>
    </row>
    <row r="636" spans="1:23" ht="14.45" customHeight="1" x14ac:dyDescent="0.25">
      <c r="A636" s="7" t="s">
        <v>102</v>
      </c>
      <c r="B636" s="148"/>
      <c r="C636" s="148"/>
      <c r="D636" s="164">
        <v>1000</v>
      </c>
      <c r="E636" s="164"/>
      <c r="F636" s="164"/>
      <c r="G636" s="194">
        <f t="shared" si="153"/>
        <v>1000</v>
      </c>
      <c r="H636" s="218"/>
      <c r="I636" s="296"/>
      <c r="J636" s="296"/>
      <c r="K636" s="164">
        <f t="shared" si="154"/>
        <v>-3000</v>
      </c>
      <c r="L636" s="364"/>
      <c r="M636" s="204">
        <v>4000</v>
      </c>
      <c r="N636" s="105"/>
      <c r="O636" s="9"/>
      <c r="P636" s="67">
        <f t="shared" si="155"/>
        <v>4000</v>
      </c>
      <c r="Q636" s="9"/>
      <c r="R636" s="9"/>
      <c r="S636" s="12">
        <v>8000</v>
      </c>
      <c r="T636" s="44">
        <v>8000</v>
      </c>
      <c r="U636" s="44">
        <v>1326.97</v>
      </c>
    </row>
    <row r="637" spans="1:23" ht="14.45" customHeight="1" x14ac:dyDescent="0.25">
      <c r="A637" s="7" t="s">
        <v>337</v>
      </c>
      <c r="B637" s="148"/>
      <c r="C637" s="148"/>
      <c r="D637" s="164"/>
      <c r="E637" s="164"/>
      <c r="F637" s="164"/>
      <c r="G637" s="194">
        <f t="shared" si="153"/>
        <v>0</v>
      </c>
      <c r="H637" s="218"/>
      <c r="I637" s="296"/>
      <c r="J637" s="296"/>
      <c r="K637" s="164">
        <f t="shared" si="154"/>
        <v>0</v>
      </c>
      <c r="L637" s="364"/>
      <c r="M637" s="204"/>
      <c r="N637" s="105"/>
      <c r="O637" s="9"/>
      <c r="P637" s="9"/>
      <c r="Q637" s="9"/>
      <c r="R637" s="9"/>
      <c r="S637" s="12">
        <v>10000</v>
      </c>
      <c r="T637" s="44">
        <v>10000</v>
      </c>
      <c r="U637" s="44">
        <v>11226</v>
      </c>
    </row>
    <row r="638" spans="1:23" ht="14.45" customHeight="1" x14ac:dyDescent="0.25">
      <c r="A638" s="142" t="s">
        <v>338</v>
      </c>
      <c r="B638" s="293"/>
      <c r="C638" s="293"/>
      <c r="D638" s="176">
        <f t="shared" ref="D638:G638" si="156">SUM(D631:D637)</f>
        <v>58000</v>
      </c>
      <c r="E638" s="176">
        <f t="shared" si="156"/>
        <v>0</v>
      </c>
      <c r="F638" s="176">
        <f t="shared" si="156"/>
        <v>0</v>
      </c>
      <c r="G638" s="176">
        <f t="shared" si="156"/>
        <v>58000</v>
      </c>
      <c r="H638" s="224"/>
      <c r="I638" s="237"/>
      <c r="J638" s="237"/>
      <c r="K638" s="237">
        <f>SUM(K631:K637)</f>
        <v>4000</v>
      </c>
      <c r="L638" s="327"/>
      <c r="M638" s="205">
        <f>SUM(M631:M637)</f>
        <v>54000</v>
      </c>
      <c r="N638" s="205">
        <f t="shared" ref="N638:O638" si="157">SUM(N631:N637)</f>
        <v>0</v>
      </c>
      <c r="O638" s="45">
        <f t="shared" si="157"/>
        <v>0</v>
      </c>
      <c r="P638" s="45">
        <f>SUM(M638:O638)</f>
        <v>54000</v>
      </c>
      <c r="Q638" s="60">
        <f>P638/P49</f>
        <v>8.175921608052375E-3</v>
      </c>
      <c r="R638" s="48">
        <f>P638-S638</f>
        <v>-21000</v>
      </c>
      <c r="S638" s="32">
        <v>75000</v>
      </c>
      <c r="T638" s="49">
        <v>75000</v>
      </c>
      <c r="U638" s="49">
        <v>21070.799999999999</v>
      </c>
    </row>
    <row r="639" spans="1:23" ht="15" customHeight="1" x14ac:dyDescent="0.25">
      <c r="A639" s="69"/>
      <c r="B639" s="69"/>
      <c r="C639" s="69"/>
      <c r="D639" s="402"/>
      <c r="E639" s="402"/>
      <c r="F639" s="402"/>
      <c r="G639" s="402"/>
      <c r="H639" s="404"/>
      <c r="I639" s="404"/>
      <c r="J639" s="404"/>
      <c r="K639" s="404"/>
      <c r="L639" s="405"/>
      <c r="M639" s="86"/>
      <c r="N639" s="86"/>
      <c r="O639" s="86"/>
      <c r="P639" s="69"/>
      <c r="Q639" s="69"/>
      <c r="R639" s="87"/>
      <c r="S639" s="69"/>
      <c r="T639" s="69"/>
      <c r="U639" s="69"/>
    </row>
    <row r="640" spans="1:23" ht="28.5" customHeight="1" x14ac:dyDescent="0.25">
      <c r="A640" s="52" t="s">
        <v>339</v>
      </c>
      <c r="B640" s="146"/>
      <c r="C640" s="146"/>
      <c r="D640" s="52"/>
      <c r="E640" s="52"/>
      <c r="F640" s="52"/>
      <c r="G640" s="52"/>
      <c r="H640" s="52"/>
      <c r="I640" s="52"/>
      <c r="J640" s="52"/>
      <c r="K640" s="52"/>
      <c r="L640" s="323"/>
      <c r="M640" s="317"/>
      <c r="N640" s="78"/>
      <c r="O640" s="78"/>
      <c r="P640" s="53"/>
      <c r="Q640" s="53"/>
      <c r="R640" s="147"/>
      <c r="S640" s="147"/>
      <c r="T640" s="54"/>
      <c r="U640" s="54"/>
    </row>
    <row r="641" spans="1:25" ht="14.45" customHeight="1" x14ac:dyDescent="0.25">
      <c r="A641" s="7" t="s">
        <v>340</v>
      </c>
      <c r="B641" s="148"/>
      <c r="C641" s="148"/>
      <c r="D641" s="164">
        <v>2600</v>
      </c>
      <c r="E641" s="164"/>
      <c r="F641" s="164"/>
      <c r="G641" s="194">
        <f>+F641+E641+D641</f>
        <v>2600</v>
      </c>
      <c r="H641" s="218"/>
      <c r="I641" s="296"/>
      <c r="J641" s="296"/>
      <c r="K641" s="164">
        <f t="shared" ref="K641:K650" si="158">+G641-P641</f>
        <v>100</v>
      </c>
      <c r="L641" s="364"/>
      <c r="M641" s="204">
        <v>2500</v>
      </c>
      <c r="N641" s="105"/>
      <c r="O641" s="9"/>
      <c r="P641" s="67">
        <f>M641+N641+O641</f>
        <v>2500</v>
      </c>
      <c r="Q641" s="9"/>
      <c r="R641" s="9"/>
      <c r="S641" s="12">
        <v>1900</v>
      </c>
      <c r="T641" s="44">
        <v>0</v>
      </c>
      <c r="U641" s="44">
        <v>0</v>
      </c>
    </row>
    <row r="642" spans="1:25" ht="14.45" customHeight="1" x14ac:dyDescent="0.25">
      <c r="A642" s="7" t="s">
        <v>341</v>
      </c>
      <c r="B642" s="148"/>
      <c r="C642" s="148"/>
      <c r="D642" s="164">
        <v>1798</v>
      </c>
      <c r="E642" s="164"/>
      <c r="F642" s="164"/>
      <c r="G642" s="194">
        <f>+F642+E642+D642</f>
        <v>1798</v>
      </c>
      <c r="H642" s="218"/>
      <c r="I642" s="296"/>
      <c r="J642" s="296"/>
      <c r="K642" s="164">
        <f t="shared" si="158"/>
        <v>565</v>
      </c>
      <c r="L642" s="364"/>
      <c r="M642" s="204">
        <v>1233</v>
      </c>
      <c r="N642" s="105"/>
      <c r="O642" s="9"/>
      <c r="P642" s="67">
        <f t="shared" ref="P642:P651" si="159">M642+N642+O642</f>
        <v>1233</v>
      </c>
      <c r="Q642" s="9"/>
      <c r="R642" s="9"/>
      <c r="S642" s="12">
        <v>3778</v>
      </c>
      <c r="T642" s="44">
        <v>0</v>
      </c>
      <c r="U642" s="44">
        <v>790</v>
      </c>
    </row>
    <row r="643" spans="1:25" ht="14.45" hidden="1" customHeight="1" x14ac:dyDescent="0.25">
      <c r="A643" s="7" t="s">
        <v>332</v>
      </c>
      <c r="B643" s="148"/>
      <c r="C643" s="148"/>
      <c r="D643" s="164"/>
      <c r="E643" s="164"/>
      <c r="F643" s="164"/>
      <c r="G643" s="194"/>
      <c r="H643" s="218"/>
      <c r="I643" s="296"/>
      <c r="J643" s="296"/>
      <c r="K643" s="164">
        <f t="shared" si="158"/>
        <v>0</v>
      </c>
      <c r="L643" s="364"/>
      <c r="M643" s="105"/>
      <c r="N643" s="105"/>
      <c r="O643" s="9"/>
      <c r="P643" s="67">
        <f t="shared" si="159"/>
        <v>0</v>
      </c>
      <c r="Q643" s="9"/>
      <c r="R643" s="9"/>
      <c r="S643" s="12">
        <v>0</v>
      </c>
      <c r="T643" s="44">
        <v>1000</v>
      </c>
      <c r="U643" s="44">
        <v>0</v>
      </c>
    </row>
    <row r="644" spans="1:25" ht="14.45" hidden="1" customHeight="1" x14ac:dyDescent="0.25">
      <c r="A644" s="7" t="s">
        <v>342</v>
      </c>
      <c r="B644" s="148"/>
      <c r="C644" s="148"/>
      <c r="D644" s="164"/>
      <c r="E644" s="164"/>
      <c r="F644" s="164"/>
      <c r="G644" s="194"/>
      <c r="H644" s="218"/>
      <c r="I644" s="296"/>
      <c r="J644" s="296"/>
      <c r="K644" s="164">
        <f t="shared" si="158"/>
        <v>0</v>
      </c>
      <c r="L644" s="364"/>
      <c r="M644" s="105"/>
      <c r="N644" s="105"/>
      <c r="O644" s="9"/>
      <c r="P644" s="67">
        <f t="shared" si="159"/>
        <v>0</v>
      </c>
      <c r="Q644" s="9"/>
      <c r="R644" s="9"/>
      <c r="S644" s="12">
        <v>0</v>
      </c>
      <c r="T644" s="44">
        <v>0</v>
      </c>
      <c r="U644" s="44">
        <v>316.24</v>
      </c>
    </row>
    <row r="645" spans="1:25" ht="14.25" customHeight="1" x14ac:dyDescent="0.25">
      <c r="A645" s="263" t="s">
        <v>343</v>
      </c>
      <c r="B645" s="549"/>
      <c r="C645" s="549"/>
      <c r="D645" s="637">
        <v>0</v>
      </c>
      <c r="E645" s="264">
        <v>27500</v>
      </c>
      <c r="F645" s="264"/>
      <c r="G645" s="638">
        <f>+F645+E645+D645</f>
        <v>27500</v>
      </c>
      <c r="H645" s="265"/>
      <c r="I645" s="644"/>
      <c r="J645" s="644"/>
      <c r="K645" s="264">
        <f t="shared" si="158"/>
        <v>22500</v>
      </c>
      <c r="L645" s="378"/>
      <c r="M645" s="267"/>
      <c r="N645" s="267">
        <v>5000</v>
      </c>
      <c r="O645" s="266"/>
      <c r="P645" s="24">
        <f t="shared" si="159"/>
        <v>5000</v>
      </c>
      <c r="Q645" s="266"/>
      <c r="R645" s="266"/>
      <c r="S645" s="268">
        <v>1000</v>
      </c>
      <c r="T645" s="269">
        <v>5000</v>
      </c>
      <c r="U645" s="269">
        <v>2430</v>
      </c>
      <c r="W645" s="390" t="s">
        <v>477</v>
      </c>
    </row>
    <row r="646" spans="1:25" ht="14.45" customHeight="1" x14ac:dyDescent="0.25">
      <c r="A646" s="7" t="s">
        <v>344</v>
      </c>
      <c r="B646" s="148"/>
      <c r="C646" s="148"/>
      <c r="D646" s="254">
        <v>0</v>
      </c>
      <c r="E646" s="164"/>
      <c r="F646" s="164"/>
      <c r="G646" s="194">
        <f>+F646+E646+D646</f>
        <v>0</v>
      </c>
      <c r="H646" s="218"/>
      <c r="I646" s="296"/>
      <c r="J646" s="296"/>
      <c r="K646" s="164">
        <f t="shared" si="158"/>
        <v>0</v>
      </c>
      <c r="L646" s="364"/>
      <c r="M646" s="105"/>
      <c r="N646" s="105"/>
      <c r="O646" s="67"/>
      <c r="P646" s="67">
        <f t="shared" si="159"/>
        <v>0</v>
      </c>
      <c r="Q646" s="9"/>
      <c r="R646" s="9"/>
      <c r="S646" s="12">
        <v>4000</v>
      </c>
      <c r="T646" s="44">
        <v>0</v>
      </c>
      <c r="U646" s="44">
        <v>0</v>
      </c>
    </row>
    <row r="647" spans="1:25" ht="14.45" customHeight="1" x14ac:dyDescent="0.25">
      <c r="A647" s="7" t="s">
        <v>345</v>
      </c>
      <c r="B647" s="148"/>
      <c r="C647" s="148"/>
      <c r="D647" s="254">
        <v>2765</v>
      </c>
      <c r="E647" s="164"/>
      <c r="F647" s="164"/>
      <c r="G647" s="194">
        <f>+F647+E647+D647</f>
        <v>2765</v>
      </c>
      <c r="H647" s="218"/>
      <c r="I647" s="296"/>
      <c r="J647" s="296"/>
      <c r="K647" s="164">
        <f t="shared" si="158"/>
        <v>-2185</v>
      </c>
      <c r="L647" s="364"/>
      <c r="M647" s="204">
        <v>4950</v>
      </c>
      <c r="N647" s="105"/>
      <c r="O647" s="9"/>
      <c r="P647" s="67">
        <f t="shared" si="159"/>
        <v>4950</v>
      </c>
      <c r="Q647" s="9"/>
      <c r="R647" s="9"/>
      <c r="S647" s="12">
        <v>4950</v>
      </c>
      <c r="T647" s="44">
        <v>2000</v>
      </c>
      <c r="U647" s="44">
        <v>775.39</v>
      </c>
    </row>
    <row r="648" spans="1:25" ht="14.45" hidden="1" customHeight="1" x14ac:dyDescent="0.25">
      <c r="A648" s="7" t="s">
        <v>102</v>
      </c>
      <c r="B648" s="148"/>
      <c r="C648" s="148"/>
      <c r="D648" s="254"/>
      <c r="E648" s="164"/>
      <c r="F648" s="164"/>
      <c r="G648" s="194"/>
      <c r="H648" s="218"/>
      <c r="I648" s="296"/>
      <c r="J648" s="296"/>
      <c r="K648" s="164">
        <f t="shared" si="158"/>
        <v>0</v>
      </c>
      <c r="L648" s="364"/>
      <c r="M648" s="105"/>
      <c r="N648" s="105"/>
      <c r="O648" s="9"/>
      <c r="P648" s="67">
        <f t="shared" si="159"/>
        <v>0</v>
      </c>
      <c r="Q648" s="9"/>
      <c r="R648" s="9"/>
      <c r="S648" s="12">
        <v>0</v>
      </c>
      <c r="T648" s="44">
        <v>3000</v>
      </c>
      <c r="U648" s="44">
        <v>0</v>
      </c>
    </row>
    <row r="649" spans="1:25" ht="14.45" customHeight="1" x14ac:dyDescent="0.25">
      <c r="A649" s="148" t="s">
        <v>346</v>
      </c>
      <c r="B649" s="148"/>
      <c r="C649" s="148"/>
      <c r="D649" s="254">
        <v>16897</v>
      </c>
      <c r="E649" s="164"/>
      <c r="F649" s="164"/>
      <c r="G649" s="194">
        <f>+F649+E649+D649</f>
        <v>16897</v>
      </c>
      <c r="H649" s="218"/>
      <c r="I649" s="296"/>
      <c r="J649" s="296"/>
      <c r="K649" s="164">
        <f t="shared" si="158"/>
        <v>-2409</v>
      </c>
      <c r="L649" s="364"/>
      <c r="M649" s="105">
        <v>19306</v>
      </c>
      <c r="N649" s="105"/>
      <c r="O649" s="9"/>
      <c r="P649" s="67">
        <f t="shared" si="159"/>
        <v>19306</v>
      </c>
      <c r="Q649" s="9"/>
      <c r="R649" s="9"/>
      <c r="S649" s="12"/>
      <c r="T649" s="44">
        <v>17485.11</v>
      </c>
      <c r="U649" s="44">
        <v>17485</v>
      </c>
    </row>
    <row r="650" spans="1:25" ht="15.75" customHeight="1" x14ac:dyDescent="0.25">
      <c r="A650" s="549" t="s">
        <v>347</v>
      </c>
      <c r="B650" s="549"/>
      <c r="C650" s="549"/>
      <c r="D650" s="637">
        <f>39386*0</f>
        <v>0</v>
      </c>
      <c r="E650" s="264"/>
      <c r="F650" s="264"/>
      <c r="G650" s="638">
        <f>+F650+E650+D650</f>
        <v>0</v>
      </c>
      <c r="H650" s="265"/>
      <c r="I650" s="644"/>
      <c r="J650" s="644"/>
      <c r="K650" s="264">
        <f t="shared" si="158"/>
        <v>-45000</v>
      </c>
      <c r="L650" s="378"/>
      <c r="M650" s="267">
        <v>45000</v>
      </c>
      <c r="N650" s="315"/>
      <c r="O650" s="266"/>
      <c r="P650" s="24">
        <f t="shared" si="159"/>
        <v>45000</v>
      </c>
      <c r="Q650" s="9"/>
      <c r="R650" s="9"/>
      <c r="S650" s="12">
        <v>47433</v>
      </c>
      <c r="T650" s="44">
        <v>45000</v>
      </c>
      <c r="U650" s="44">
        <v>45000</v>
      </c>
      <c r="W650" s="430" t="s">
        <v>512</v>
      </c>
      <c r="Y650" s="422"/>
    </row>
    <row r="651" spans="1:25" ht="12" customHeight="1" x14ac:dyDescent="0.25">
      <c r="A651" s="549" t="s">
        <v>348</v>
      </c>
      <c r="B651" s="549"/>
      <c r="C651" s="549"/>
      <c r="D651" s="637">
        <f>8894*0</f>
        <v>0</v>
      </c>
      <c r="E651" s="639"/>
      <c r="F651" s="639"/>
      <c r="G651" s="638">
        <f>+F651+E651+D651</f>
        <v>0</v>
      </c>
      <c r="I651" s="645"/>
      <c r="J651" s="645"/>
      <c r="K651" s="264">
        <f>+G651-P651</f>
        <v>-10162</v>
      </c>
      <c r="L651" s="646"/>
      <c r="M651" s="267">
        <v>10162</v>
      </c>
      <c r="N651" s="315"/>
      <c r="O651" s="24"/>
      <c r="P651" s="24">
        <f t="shared" si="159"/>
        <v>10162</v>
      </c>
      <c r="Q651" s="9"/>
      <c r="R651" s="9"/>
      <c r="S651" s="12"/>
      <c r="T651" s="44">
        <v>4957.46</v>
      </c>
      <c r="U651" s="44">
        <v>4957.46</v>
      </c>
      <c r="W651" s="430" t="s">
        <v>474</v>
      </c>
    </row>
    <row r="652" spans="1:25" ht="14.45" customHeight="1" x14ac:dyDescent="0.25">
      <c r="A652" s="140" t="s">
        <v>349</v>
      </c>
      <c r="B652" s="548"/>
      <c r="C652" s="560"/>
      <c r="D652" s="176">
        <f>SUM(D641:D651)</f>
        <v>24060</v>
      </c>
      <c r="E652" s="176">
        <f>SUM(E641:E651)</f>
        <v>27500</v>
      </c>
      <c r="F652" s="176">
        <f>SUM(F641:F651)</f>
        <v>0</v>
      </c>
      <c r="G652" s="176">
        <f>SUM(G641:G651)</f>
        <v>51560</v>
      </c>
      <c r="H652" s="224"/>
      <c r="I652" s="237"/>
      <c r="J652" s="237"/>
      <c r="K652" s="237">
        <f>SUM(K641:K651)</f>
        <v>-36591</v>
      </c>
      <c r="L652" s="327"/>
      <c r="M652" s="205">
        <f>SUM(M641:M651)</f>
        <v>83151</v>
      </c>
      <c r="N652" s="205">
        <f t="shared" ref="N652:O652" si="160">SUM(N641:N651)</f>
        <v>5000</v>
      </c>
      <c r="O652" s="45">
        <f t="shared" si="160"/>
        <v>0</v>
      </c>
      <c r="P652" s="45">
        <f>SUM(M652:O652)</f>
        <v>88151</v>
      </c>
      <c r="Q652" s="60">
        <f>P652/P49</f>
        <v>1.3346586401322682E-2</v>
      </c>
      <c r="R652" s="48">
        <f>P652-S652</f>
        <v>25090</v>
      </c>
      <c r="S652" s="32">
        <v>63061</v>
      </c>
      <c r="T652" s="49">
        <v>78442.570000000007</v>
      </c>
      <c r="U652" s="49">
        <v>71754.09</v>
      </c>
    </row>
    <row r="653" spans="1:25" ht="9.9499999999999993" customHeight="1" x14ac:dyDescent="0.25">
      <c r="A653" s="61"/>
      <c r="B653" s="69"/>
      <c r="C653" s="69"/>
      <c r="D653" s="276"/>
      <c r="E653" s="276"/>
      <c r="F653" s="276"/>
      <c r="G653" s="276"/>
      <c r="H653" s="212"/>
      <c r="I653" s="212"/>
      <c r="J653" s="212"/>
      <c r="K653" s="212"/>
      <c r="L653" s="328"/>
      <c r="M653" s="51"/>
      <c r="N653" s="51"/>
      <c r="O653" s="51"/>
      <c r="P653" s="61"/>
      <c r="Q653" s="61"/>
      <c r="R653" s="68"/>
      <c r="S653" s="69"/>
      <c r="T653" s="69"/>
      <c r="U653" s="69"/>
    </row>
    <row r="654" spans="1:25" s="593" customFormat="1" ht="41.1" customHeight="1" x14ac:dyDescent="0.25">
      <c r="A654" s="594" t="s">
        <v>350</v>
      </c>
      <c r="B654" s="664"/>
      <c r="C654" s="665"/>
      <c r="D654" s="584">
        <f>D619+D628+D638+D652</f>
        <v>91460</v>
      </c>
      <c r="E654" s="584">
        <f>E619+E628+E638+E652</f>
        <v>27500</v>
      </c>
      <c r="F654" s="584">
        <f>F619+F628+F638+F652</f>
        <v>18000</v>
      </c>
      <c r="G654" s="584">
        <f>G619+G628+G638+G652</f>
        <v>136960</v>
      </c>
      <c r="H654" s="585"/>
      <c r="I654" s="586">
        <f>+G654/G$786</f>
        <v>2.4720831718729682E-2</v>
      </c>
      <c r="J654" s="585"/>
      <c r="K654" s="584">
        <f>K619+K628+K638+K652</f>
        <v>-62063</v>
      </c>
      <c r="L654" s="587"/>
      <c r="M654" s="588">
        <f>M619+M628+M638+M652</f>
        <v>149023</v>
      </c>
      <c r="N654" s="588">
        <f>N619+N628+N638+N652</f>
        <v>5000</v>
      </c>
      <c r="O654" s="589">
        <f>O619+O628+O638+O652</f>
        <v>45000</v>
      </c>
      <c r="P654" s="589">
        <f>P619+P628+P638+P652</f>
        <v>199023</v>
      </c>
      <c r="Q654" s="590">
        <f>P654/P49</f>
        <v>3.0133267522211255E-2</v>
      </c>
      <c r="R654" s="591">
        <f>P654-S654</f>
        <v>52007</v>
      </c>
      <c r="S654" s="592">
        <f>S619+S628+S638+S652</f>
        <v>147016</v>
      </c>
      <c r="T654" s="592">
        <f>T619+T628+T638+T652</f>
        <v>307532.24</v>
      </c>
      <c r="U654" s="592">
        <f>U619+U628+U638+U652</f>
        <v>128132.56999999999</v>
      </c>
    </row>
    <row r="655" spans="1:25" ht="30" customHeight="1" thickBot="1" x14ac:dyDescent="0.3">
      <c r="A655" s="115"/>
      <c r="B655" s="115"/>
      <c r="C655" s="115"/>
      <c r="D655" s="192"/>
      <c r="E655" s="192"/>
      <c r="F655" s="192"/>
      <c r="G655" s="192"/>
      <c r="H655" s="278"/>
      <c r="I655" s="458"/>
      <c r="J655" s="458"/>
      <c r="K655" s="513"/>
      <c r="L655" s="333"/>
      <c r="M655" s="116"/>
      <c r="N655" s="116"/>
      <c r="O655" s="116"/>
      <c r="P655" s="115"/>
      <c r="Q655" s="115"/>
      <c r="R655" s="117"/>
      <c r="S655" s="118"/>
      <c r="T655" s="118"/>
      <c r="U655" s="118"/>
    </row>
    <row r="656" spans="1:25" ht="31.5" hidden="1" customHeight="1" x14ac:dyDescent="0.25">
      <c r="A656" s="149" t="s">
        <v>351</v>
      </c>
      <c r="B656" s="552"/>
      <c r="C656" s="552"/>
      <c r="D656" s="149"/>
      <c r="E656" s="149"/>
      <c r="F656" s="149"/>
      <c r="G656" s="149"/>
      <c r="H656" s="52"/>
      <c r="I656" s="52"/>
      <c r="J656" s="52"/>
      <c r="K656" s="52"/>
      <c r="L656" s="323"/>
      <c r="M656" s="305"/>
      <c r="N656" s="138" t="s">
        <v>396</v>
      </c>
      <c r="O656" s="78"/>
      <c r="P656" s="53"/>
      <c r="Q656" s="53"/>
      <c r="R656" s="150"/>
      <c r="S656" s="150"/>
      <c r="T656" s="54"/>
      <c r="U656" s="54"/>
    </row>
    <row r="657" spans="1:21" ht="14.45" hidden="1" customHeight="1" x14ac:dyDescent="0.25">
      <c r="A657" s="143" t="s">
        <v>73</v>
      </c>
      <c r="B657" s="148"/>
      <c r="C657" s="148"/>
      <c r="D657" s="166"/>
      <c r="E657" s="166"/>
      <c r="F657" s="166"/>
      <c r="G657" s="195"/>
      <c r="H657" s="219"/>
      <c r="I657" s="239"/>
      <c r="J657" s="239"/>
      <c r="K657" s="239"/>
      <c r="L657" s="335"/>
      <c r="M657" s="211">
        <v>0</v>
      </c>
      <c r="N657" s="211"/>
      <c r="O657" s="125"/>
      <c r="P657" s="125">
        <f>M657+N657+O657</f>
        <v>0</v>
      </c>
      <c r="Q657" s="9"/>
      <c r="R657" s="9"/>
      <c r="S657" s="12">
        <v>0</v>
      </c>
      <c r="T657" s="44">
        <v>89188</v>
      </c>
      <c r="U657" s="44">
        <v>72539.820000000007</v>
      </c>
    </row>
    <row r="658" spans="1:21" ht="14.45" hidden="1" customHeight="1" x14ac:dyDescent="0.25">
      <c r="A658" s="143" t="s">
        <v>352</v>
      </c>
      <c r="B658" s="148"/>
      <c r="C658" s="148"/>
      <c r="D658" s="166"/>
      <c r="E658" s="166"/>
      <c r="F658" s="166"/>
      <c r="G658" s="195"/>
      <c r="H658" s="219"/>
      <c r="I658" s="239"/>
      <c r="J658" s="239"/>
      <c r="K658" s="239"/>
      <c r="L658" s="335"/>
      <c r="M658" s="211"/>
      <c r="N658" s="211"/>
      <c r="O658" s="125"/>
      <c r="P658" s="125"/>
      <c r="Q658" s="9"/>
      <c r="R658" s="9"/>
      <c r="S658" s="12">
        <v>0</v>
      </c>
      <c r="T658" s="44">
        <v>0</v>
      </c>
      <c r="U658" s="44">
        <v>0</v>
      </c>
    </row>
    <row r="659" spans="1:21" ht="14.45" hidden="1" customHeight="1" x14ac:dyDescent="0.25">
      <c r="A659" s="143" t="s">
        <v>163</v>
      </c>
      <c r="B659" s="148"/>
      <c r="C659" s="148"/>
      <c r="D659" s="166"/>
      <c r="E659" s="166"/>
      <c r="F659" s="166"/>
      <c r="G659" s="195"/>
      <c r="H659" s="219"/>
      <c r="I659" s="239"/>
      <c r="J659" s="239"/>
      <c r="K659" s="239"/>
      <c r="L659" s="335"/>
      <c r="M659" s="211"/>
      <c r="N659" s="211"/>
      <c r="O659" s="125"/>
      <c r="P659" s="125"/>
      <c r="Q659" s="9"/>
      <c r="R659" s="9"/>
      <c r="S659" s="12">
        <v>0</v>
      </c>
      <c r="T659" s="44">
        <v>6883</v>
      </c>
      <c r="U659" s="44">
        <v>0</v>
      </c>
    </row>
    <row r="660" spans="1:21" ht="14.45" hidden="1" customHeight="1" x14ac:dyDescent="0.25">
      <c r="A660" s="143" t="s">
        <v>55</v>
      </c>
      <c r="B660" s="148"/>
      <c r="C660" s="148"/>
      <c r="D660" s="166"/>
      <c r="E660" s="166"/>
      <c r="F660" s="166"/>
      <c r="G660" s="195"/>
      <c r="H660" s="219"/>
      <c r="I660" s="239"/>
      <c r="J660" s="239"/>
      <c r="K660" s="239"/>
      <c r="L660" s="335"/>
      <c r="M660" s="211">
        <v>0</v>
      </c>
      <c r="N660" s="211"/>
      <c r="O660" s="125"/>
      <c r="P660" s="125">
        <f t="shared" ref="P660:P671" si="161">M660+N660+O660</f>
        <v>0</v>
      </c>
      <c r="Q660" s="9"/>
      <c r="R660" s="9"/>
      <c r="S660" s="12">
        <v>0</v>
      </c>
      <c r="T660" s="44">
        <v>31685</v>
      </c>
      <c r="U660" s="44">
        <v>15940</v>
      </c>
    </row>
    <row r="661" spans="1:21" ht="14.45" hidden="1" customHeight="1" x14ac:dyDescent="0.25">
      <c r="A661" s="143" t="s">
        <v>57</v>
      </c>
      <c r="B661" s="148"/>
      <c r="C661" s="148"/>
      <c r="D661" s="166"/>
      <c r="E661" s="166"/>
      <c r="F661" s="166"/>
      <c r="G661" s="195"/>
      <c r="H661" s="219"/>
      <c r="I661" s="239"/>
      <c r="J661" s="239"/>
      <c r="K661" s="239"/>
      <c r="L661" s="335"/>
      <c r="M661" s="211">
        <v>0</v>
      </c>
      <c r="N661" s="211"/>
      <c r="O661" s="125"/>
      <c r="P661" s="125">
        <f t="shared" si="161"/>
        <v>0</v>
      </c>
      <c r="Q661" s="9"/>
      <c r="R661" s="9"/>
      <c r="S661" s="12">
        <v>0</v>
      </c>
      <c r="T661" s="44">
        <v>388</v>
      </c>
      <c r="U661" s="44">
        <v>298.86</v>
      </c>
    </row>
    <row r="662" spans="1:21" ht="14.45" hidden="1" customHeight="1" x14ac:dyDescent="0.25">
      <c r="A662" s="143" t="s">
        <v>59</v>
      </c>
      <c r="B662" s="148"/>
      <c r="C662" s="148"/>
      <c r="D662" s="166"/>
      <c r="E662" s="166"/>
      <c r="F662" s="166"/>
      <c r="G662" s="195"/>
      <c r="H662" s="219"/>
      <c r="I662" s="239"/>
      <c r="J662" s="239"/>
      <c r="K662" s="239"/>
      <c r="L662" s="335"/>
      <c r="M662" s="211">
        <v>0</v>
      </c>
      <c r="N662" s="211"/>
      <c r="O662" s="125"/>
      <c r="P662" s="125">
        <f t="shared" si="161"/>
        <v>0</v>
      </c>
      <c r="Q662" s="9"/>
      <c r="R662" s="9"/>
      <c r="S662" s="12">
        <v>0</v>
      </c>
      <c r="T662" s="44">
        <v>17439</v>
      </c>
      <c r="U662" s="44">
        <v>15495.37</v>
      </c>
    </row>
    <row r="663" spans="1:21" ht="14.45" hidden="1" customHeight="1" x14ac:dyDescent="0.25">
      <c r="A663" s="143" t="s">
        <v>353</v>
      </c>
      <c r="B663" s="148"/>
      <c r="C663" s="148"/>
      <c r="D663" s="166"/>
      <c r="E663" s="166"/>
      <c r="F663" s="166"/>
      <c r="G663" s="195"/>
      <c r="H663" s="219"/>
      <c r="I663" s="239"/>
      <c r="J663" s="239"/>
      <c r="K663" s="239"/>
      <c r="L663" s="335"/>
      <c r="M663" s="211"/>
      <c r="N663" s="211"/>
      <c r="O663" s="125"/>
      <c r="P663" s="125">
        <f t="shared" si="161"/>
        <v>0</v>
      </c>
      <c r="Q663" s="9"/>
      <c r="R663" s="9"/>
      <c r="S663" s="12">
        <v>0</v>
      </c>
      <c r="T663" s="44">
        <v>0</v>
      </c>
      <c r="U663" s="44">
        <v>8498.3799999999992</v>
      </c>
    </row>
    <row r="664" spans="1:21" ht="14.45" hidden="1" customHeight="1" x14ac:dyDescent="0.25">
      <c r="A664" s="143" t="s">
        <v>354</v>
      </c>
      <c r="B664" s="148"/>
      <c r="C664" s="148"/>
      <c r="D664" s="166"/>
      <c r="E664" s="166"/>
      <c r="F664" s="166"/>
      <c r="G664" s="195"/>
      <c r="H664" s="219"/>
      <c r="I664" s="239"/>
      <c r="J664" s="239"/>
      <c r="K664" s="239"/>
      <c r="L664" s="335"/>
      <c r="M664" s="211"/>
      <c r="N664" s="211"/>
      <c r="O664" s="125"/>
      <c r="P664" s="125">
        <f t="shared" si="161"/>
        <v>0</v>
      </c>
      <c r="Q664" s="9"/>
      <c r="R664" s="9"/>
      <c r="S664" s="12">
        <v>0</v>
      </c>
      <c r="T664" s="44">
        <v>0</v>
      </c>
      <c r="U664" s="44">
        <v>110.55</v>
      </c>
    </row>
    <row r="665" spans="1:21" ht="14.45" hidden="1" customHeight="1" x14ac:dyDescent="0.25">
      <c r="A665" s="143" t="s">
        <v>355</v>
      </c>
      <c r="B665" s="148"/>
      <c r="C665" s="148"/>
      <c r="D665" s="166"/>
      <c r="E665" s="166"/>
      <c r="F665" s="166"/>
      <c r="G665" s="195"/>
      <c r="H665" s="219"/>
      <c r="I665" s="239"/>
      <c r="J665" s="239"/>
      <c r="K665" s="239"/>
      <c r="L665" s="335"/>
      <c r="M665" s="211"/>
      <c r="N665" s="211"/>
      <c r="O665" s="125"/>
      <c r="P665" s="125">
        <f t="shared" si="161"/>
        <v>0</v>
      </c>
      <c r="Q665" s="9"/>
      <c r="R665" s="9"/>
      <c r="S665" s="12">
        <v>0</v>
      </c>
      <c r="T665" s="44">
        <v>0</v>
      </c>
      <c r="U665" s="44">
        <v>108</v>
      </c>
    </row>
    <row r="666" spans="1:21" ht="14.45" hidden="1" customHeight="1" x14ac:dyDescent="0.25">
      <c r="A666" s="143" t="s">
        <v>65</v>
      </c>
      <c r="B666" s="148"/>
      <c r="C666" s="148"/>
      <c r="D666" s="166"/>
      <c r="E666" s="166"/>
      <c r="F666" s="166"/>
      <c r="G666" s="195"/>
      <c r="H666" s="219"/>
      <c r="I666" s="239"/>
      <c r="J666" s="239"/>
      <c r="K666" s="239"/>
      <c r="L666" s="335"/>
      <c r="M666" s="211">
        <v>0</v>
      </c>
      <c r="N666" s="211"/>
      <c r="O666" s="125"/>
      <c r="P666" s="125">
        <f t="shared" si="161"/>
        <v>0</v>
      </c>
      <c r="Q666" s="9"/>
      <c r="R666" s="9"/>
      <c r="S666" s="12">
        <v>0</v>
      </c>
      <c r="T666" s="44">
        <v>4000</v>
      </c>
      <c r="U666" s="44">
        <v>5201.33</v>
      </c>
    </row>
    <row r="667" spans="1:21" ht="14.45" hidden="1" customHeight="1" x14ac:dyDescent="0.25">
      <c r="A667" s="143" t="s">
        <v>356</v>
      </c>
      <c r="B667" s="148"/>
      <c r="C667" s="148"/>
      <c r="D667" s="166"/>
      <c r="E667" s="166"/>
      <c r="F667" s="166"/>
      <c r="G667" s="195"/>
      <c r="H667" s="219"/>
      <c r="I667" s="239"/>
      <c r="J667" s="239"/>
      <c r="K667" s="239"/>
      <c r="L667" s="335"/>
      <c r="M667" s="211"/>
      <c r="N667" s="211"/>
      <c r="O667" s="125"/>
      <c r="P667" s="125">
        <f t="shared" si="161"/>
        <v>0</v>
      </c>
      <c r="Q667" s="9"/>
      <c r="R667" s="9"/>
      <c r="S667" s="12">
        <v>0</v>
      </c>
      <c r="T667" s="44">
        <v>0</v>
      </c>
      <c r="U667" s="44">
        <v>0</v>
      </c>
    </row>
    <row r="668" spans="1:21" ht="14.45" hidden="1" customHeight="1" x14ac:dyDescent="0.25">
      <c r="A668" s="143" t="s">
        <v>99</v>
      </c>
      <c r="B668" s="148"/>
      <c r="C668" s="148"/>
      <c r="D668" s="166"/>
      <c r="E668" s="166"/>
      <c r="F668" s="166"/>
      <c r="G668" s="195"/>
      <c r="H668" s="219"/>
      <c r="I668" s="239"/>
      <c r="J668" s="239"/>
      <c r="K668" s="239"/>
      <c r="L668" s="335"/>
      <c r="M668" s="211"/>
      <c r="N668" s="211"/>
      <c r="O668" s="125"/>
      <c r="P668" s="125">
        <f t="shared" si="161"/>
        <v>0</v>
      </c>
      <c r="Q668" s="9"/>
      <c r="R668" s="9"/>
      <c r="S668" s="12">
        <v>0</v>
      </c>
      <c r="T668" s="44">
        <v>0</v>
      </c>
      <c r="U668" s="44">
        <v>0</v>
      </c>
    </row>
    <row r="669" spans="1:21" ht="14.45" hidden="1" customHeight="1" x14ac:dyDescent="0.25">
      <c r="A669" s="143" t="s">
        <v>67</v>
      </c>
      <c r="B669" s="148"/>
      <c r="C669" s="148"/>
      <c r="D669" s="166"/>
      <c r="E669" s="166"/>
      <c r="F669" s="166"/>
      <c r="G669" s="195"/>
      <c r="H669" s="219"/>
      <c r="I669" s="239"/>
      <c r="J669" s="239"/>
      <c r="K669" s="239"/>
      <c r="L669" s="335"/>
      <c r="M669" s="211"/>
      <c r="N669" s="211"/>
      <c r="O669" s="125"/>
      <c r="P669" s="125">
        <f t="shared" si="161"/>
        <v>0</v>
      </c>
      <c r="Q669" s="9"/>
      <c r="R669" s="9"/>
      <c r="S669" s="12">
        <v>0</v>
      </c>
      <c r="T669" s="44">
        <v>0</v>
      </c>
      <c r="U669" s="44">
        <v>0</v>
      </c>
    </row>
    <row r="670" spans="1:21" ht="14.45" hidden="1" customHeight="1" x14ac:dyDescent="0.25">
      <c r="A670" s="143" t="s">
        <v>79</v>
      </c>
      <c r="B670" s="148"/>
      <c r="C670" s="148"/>
      <c r="D670" s="166"/>
      <c r="E670" s="166"/>
      <c r="F670" s="166"/>
      <c r="G670" s="195"/>
      <c r="H670" s="219"/>
      <c r="I670" s="239"/>
      <c r="J670" s="239"/>
      <c r="K670" s="239"/>
      <c r="L670" s="335"/>
      <c r="M670" s="211"/>
      <c r="N670" s="211"/>
      <c r="O670" s="125"/>
      <c r="P670" s="125">
        <f t="shared" si="161"/>
        <v>0</v>
      </c>
      <c r="Q670" s="9"/>
      <c r="R670" s="9"/>
      <c r="S670" s="12">
        <v>0</v>
      </c>
      <c r="T670" s="44">
        <v>0</v>
      </c>
      <c r="U670" s="44">
        <v>0</v>
      </c>
    </row>
    <row r="671" spans="1:21" ht="14.45" hidden="1" customHeight="1" x14ac:dyDescent="0.25">
      <c r="A671" s="143" t="s">
        <v>102</v>
      </c>
      <c r="B671" s="148"/>
      <c r="C671" s="148"/>
      <c r="D671" s="166"/>
      <c r="E671" s="166"/>
      <c r="F671" s="166"/>
      <c r="G671" s="195"/>
      <c r="H671" s="219"/>
      <c r="I671" s="239"/>
      <c r="J671" s="239"/>
      <c r="K671" s="239"/>
      <c r="L671" s="335"/>
      <c r="M671" s="211"/>
      <c r="N671" s="211"/>
      <c r="O671" s="125"/>
      <c r="P671" s="125">
        <f t="shared" si="161"/>
        <v>0</v>
      </c>
      <c r="Q671" s="9"/>
      <c r="R671" s="9"/>
      <c r="S671" s="12">
        <v>0</v>
      </c>
      <c r="T671" s="44">
        <v>0</v>
      </c>
      <c r="U671" s="44">
        <v>0</v>
      </c>
    </row>
    <row r="672" spans="1:21" ht="14.45" hidden="1" customHeight="1" x14ac:dyDescent="0.25">
      <c r="A672" s="142" t="s">
        <v>357</v>
      </c>
      <c r="B672" s="293"/>
      <c r="C672" s="293"/>
      <c r="D672" s="176"/>
      <c r="E672" s="176"/>
      <c r="F672" s="176"/>
      <c r="G672" s="198"/>
      <c r="H672" s="277"/>
      <c r="I672" s="447"/>
      <c r="J672" s="447"/>
      <c r="K672" s="237"/>
      <c r="L672" s="327"/>
      <c r="M672" s="205">
        <f>SUM(M657:M671)</f>
        <v>0</v>
      </c>
      <c r="N672" s="205">
        <f>SUM(N657:N671)</f>
        <v>0</v>
      </c>
      <c r="O672" s="45">
        <f>SUM(O657:O671)</f>
        <v>0</v>
      </c>
      <c r="P672" s="45">
        <f>SUM(M672:O672)</f>
        <v>0</v>
      </c>
      <c r="Q672" s="60"/>
      <c r="R672" s="48"/>
      <c r="S672" s="32"/>
      <c r="T672" s="49">
        <v>158583</v>
      </c>
      <c r="U672" s="49">
        <v>124646.74</v>
      </c>
    </row>
    <row r="673" spans="1:21" ht="12.75" hidden="1" customHeight="1" x14ac:dyDescent="0.25">
      <c r="A673" s="61"/>
      <c r="B673" s="69"/>
      <c r="C673" s="69"/>
      <c r="D673" s="178"/>
      <c r="E673" s="178"/>
      <c r="F673" s="178"/>
      <c r="G673" s="178"/>
      <c r="H673" s="212"/>
      <c r="I673" s="212"/>
      <c r="J673" s="212"/>
      <c r="K673" s="212"/>
      <c r="L673" s="328"/>
      <c r="M673" s="51"/>
      <c r="N673" s="51"/>
      <c r="O673" s="51"/>
      <c r="P673" s="61"/>
      <c r="Q673" s="61"/>
      <c r="R673" s="68"/>
      <c r="S673" s="69"/>
      <c r="T673" s="69"/>
      <c r="U673" s="69"/>
    </row>
    <row r="674" spans="1:21" ht="31.5" customHeight="1" x14ac:dyDescent="0.25">
      <c r="A674" s="52" t="s">
        <v>358</v>
      </c>
      <c r="B674" s="146"/>
      <c r="C674" s="146"/>
      <c r="D674" s="52"/>
      <c r="E674" s="52"/>
      <c r="F674" s="52"/>
      <c r="G674" s="52"/>
      <c r="H674" s="52"/>
      <c r="I674" s="52"/>
      <c r="J674" s="52"/>
      <c r="K674" s="52"/>
      <c r="L674" s="323"/>
      <c r="M674" s="305"/>
      <c r="N674" s="78"/>
      <c r="O674" s="78"/>
      <c r="P674" s="53"/>
      <c r="Q674" s="53"/>
      <c r="R674" s="147"/>
      <c r="S674" s="147"/>
      <c r="T674" s="54"/>
      <c r="U674" s="54"/>
    </row>
    <row r="675" spans="1:21" ht="31.5" hidden="1" customHeight="1" x14ac:dyDescent="0.25"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R675" s="3"/>
    </row>
    <row r="676" spans="1:21" ht="14.45" hidden="1" customHeight="1" x14ac:dyDescent="0.25"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R676" s="3"/>
    </row>
    <row r="677" spans="1:21" ht="14.45" hidden="1" customHeight="1" x14ac:dyDescent="0.25"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R677" s="3"/>
    </row>
    <row r="678" spans="1:21" ht="14.45" hidden="1" customHeight="1" x14ac:dyDescent="0.25"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R678" s="3"/>
    </row>
    <row r="679" spans="1:21" ht="14.45" hidden="1" customHeight="1" x14ac:dyDescent="0.25"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R679" s="3"/>
    </row>
    <row r="680" spans="1:21" ht="14.45" hidden="1" customHeight="1" x14ac:dyDescent="0.25"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R680" s="3"/>
    </row>
    <row r="681" spans="1:21" ht="14.45" hidden="1" customHeight="1" x14ac:dyDescent="0.25"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R681" s="3"/>
    </row>
    <row r="682" spans="1:21" ht="14.45" hidden="1" customHeight="1" x14ac:dyDescent="0.25"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R682" s="3"/>
    </row>
    <row r="683" spans="1:21" ht="14.45" hidden="1" customHeight="1" x14ac:dyDescent="0.25"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R683" s="3"/>
    </row>
    <row r="684" spans="1:21" ht="14.45" hidden="1" customHeight="1" x14ac:dyDescent="0.25"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R684" s="3"/>
    </row>
    <row r="685" spans="1:21" ht="14.45" hidden="1" customHeight="1" x14ac:dyDescent="0.25"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R685" s="3"/>
    </row>
    <row r="686" spans="1:21" ht="14.45" customHeight="1" x14ac:dyDescent="0.25">
      <c r="A686" s="148" t="s">
        <v>352</v>
      </c>
      <c r="B686" s="148"/>
      <c r="C686" s="148"/>
      <c r="D686" s="254">
        <v>10000</v>
      </c>
      <c r="E686" s="181"/>
      <c r="F686" s="181"/>
      <c r="G686" s="194">
        <f>+F686+E686+D686</f>
        <v>10000</v>
      </c>
      <c r="H686" s="221"/>
      <c r="I686" s="442"/>
      <c r="J686" s="442"/>
      <c r="K686" s="164">
        <f t="shared" ref="K686:K694" si="162">+G686-P686</f>
        <v>-5000</v>
      </c>
      <c r="L686" s="368"/>
      <c r="M686" s="204">
        <v>15000</v>
      </c>
      <c r="N686" s="204"/>
      <c r="O686" s="67"/>
      <c r="P686" s="67">
        <f>M686+N686+O686</f>
        <v>15000</v>
      </c>
      <c r="Q686" s="9"/>
      <c r="R686" s="9"/>
      <c r="S686" s="12">
        <v>30000</v>
      </c>
      <c r="T686" s="44">
        <v>25000</v>
      </c>
      <c r="U686" s="44">
        <v>9532.93</v>
      </c>
    </row>
    <row r="687" spans="1:21" ht="14.45" customHeight="1" x14ac:dyDescent="0.25">
      <c r="A687" s="144" t="s">
        <v>98</v>
      </c>
      <c r="B687" s="148"/>
      <c r="C687" s="554"/>
      <c r="D687" s="168">
        <v>2000</v>
      </c>
      <c r="E687" s="168"/>
      <c r="F687" s="168"/>
      <c r="G687" s="194">
        <f t="shared" ref="G687:G694" si="163">+F687+E687+D687</f>
        <v>2000</v>
      </c>
      <c r="H687" s="221"/>
      <c r="I687" s="442"/>
      <c r="J687" s="442"/>
      <c r="K687" s="164">
        <f t="shared" si="162"/>
        <v>0</v>
      </c>
      <c r="L687" s="368"/>
      <c r="M687" s="204">
        <v>2000</v>
      </c>
      <c r="N687" s="204"/>
      <c r="O687" s="67"/>
      <c r="P687" s="67">
        <f t="shared" ref="P687:P693" si="164">M687+N687+O687</f>
        <v>2000</v>
      </c>
      <c r="Q687" s="9"/>
      <c r="R687" s="9"/>
      <c r="S687" s="12">
        <v>4000</v>
      </c>
      <c r="T687" s="44">
        <v>0</v>
      </c>
      <c r="U687" s="44">
        <v>0</v>
      </c>
    </row>
    <row r="688" spans="1:21" ht="14.45" customHeight="1" x14ac:dyDescent="0.25">
      <c r="A688" s="144" t="s">
        <v>263</v>
      </c>
      <c r="B688" s="148"/>
      <c r="C688" s="554"/>
      <c r="D688" s="168">
        <v>3000</v>
      </c>
      <c r="E688" s="168"/>
      <c r="F688" s="168"/>
      <c r="G688" s="194">
        <f t="shared" si="163"/>
        <v>3000</v>
      </c>
      <c r="H688" s="221"/>
      <c r="I688" s="442"/>
      <c r="J688" s="442"/>
      <c r="K688" s="164">
        <f t="shared" si="162"/>
        <v>0</v>
      </c>
      <c r="L688" s="368"/>
      <c r="M688" s="204">
        <v>3000</v>
      </c>
      <c r="N688" s="204"/>
      <c r="O688" s="67"/>
      <c r="P688" s="67">
        <f t="shared" si="164"/>
        <v>3000</v>
      </c>
      <c r="Q688" s="9"/>
      <c r="R688" s="9"/>
      <c r="S688" s="12"/>
      <c r="T688" s="44">
        <v>0</v>
      </c>
      <c r="U688" s="44">
        <v>0</v>
      </c>
    </row>
    <row r="689" spans="1:24" ht="14.45" customHeight="1" x14ac:dyDescent="0.25">
      <c r="A689" s="7" t="s">
        <v>99</v>
      </c>
      <c r="B689" s="148"/>
      <c r="C689" s="148"/>
      <c r="D689" s="164">
        <v>700</v>
      </c>
      <c r="E689" s="164"/>
      <c r="F689" s="164"/>
      <c r="G689" s="194">
        <f t="shared" si="163"/>
        <v>700</v>
      </c>
      <c r="H689" s="218"/>
      <c r="I689" s="296"/>
      <c r="J689" s="296"/>
      <c r="K689" s="164">
        <f t="shared" si="162"/>
        <v>0</v>
      </c>
      <c r="L689" s="364"/>
      <c r="M689" s="105">
        <v>700</v>
      </c>
      <c r="N689" s="105"/>
      <c r="O689" s="9"/>
      <c r="P689" s="9">
        <f t="shared" si="164"/>
        <v>700</v>
      </c>
      <c r="Q689" s="9"/>
      <c r="R689" s="9"/>
      <c r="S689" s="12"/>
      <c r="T689" s="44">
        <v>0</v>
      </c>
      <c r="U689" s="44">
        <v>647.98</v>
      </c>
    </row>
    <row r="690" spans="1:24" ht="14.45" customHeight="1" x14ac:dyDescent="0.25">
      <c r="A690" s="7" t="s">
        <v>78</v>
      </c>
      <c r="B690" s="148"/>
      <c r="C690" s="148"/>
      <c r="D690" s="164">
        <v>1000</v>
      </c>
      <c r="E690" s="164"/>
      <c r="F690" s="164"/>
      <c r="G690" s="194">
        <f t="shared" si="163"/>
        <v>1000</v>
      </c>
      <c r="H690" s="218"/>
      <c r="I690" s="296"/>
      <c r="J690" s="296"/>
      <c r="K690" s="164">
        <f t="shared" si="162"/>
        <v>-3200</v>
      </c>
      <c r="L690" s="364"/>
      <c r="M690" s="105">
        <v>4200</v>
      </c>
      <c r="N690" s="105"/>
      <c r="O690" s="9"/>
      <c r="P690" s="9">
        <f t="shared" si="164"/>
        <v>4200</v>
      </c>
      <c r="Q690" s="9"/>
      <c r="R690" s="9"/>
      <c r="S690" s="12"/>
      <c r="T690" s="44">
        <v>0</v>
      </c>
      <c r="U690" s="44">
        <v>4145</v>
      </c>
    </row>
    <row r="691" spans="1:24" ht="14.45" customHeight="1" x14ac:dyDescent="0.25">
      <c r="A691" s="7" t="s">
        <v>413</v>
      </c>
      <c r="B691" s="148"/>
      <c r="C691" s="148"/>
      <c r="D691" s="164">
        <v>500</v>
      </c>
      <c r="E691" s="164"/>
      <c r="F691" s="164"/>
      <c r="G691" s="194">
        <f t="shared" si="163"/>
        <v>500</v>
      </c>
      <c r="H691" s="218"/>
      <c r="I691" s="296"/>
      <c r="J691" s="296"/>
      <c r="K691" s="164">
        <f t="shared" si="162"/>
        <v>500</v>
      </c>
      <c r="L691" s="364"/>
      <c r="M691" s="105">
        <v>0</v>
      </c>
      <c r="N691" s="105"/>
      <c r="O691" s="9"/>
      <c r="P691" s="9">
        <f t="shared" si="164"/>
        <v>0</v>
      </c>
      <c r="Q691" s="9"/>
      <c r="R691" s="9"/>
      <c r="S691" s="12">
        <v>337</v>
      </c>
      <c r="T691" s="44"/>
      <c r="U691" s="44"/>
    </row>
    <row r="692" spans="1:24" ht="14.45" customHeight="1" x14ac:dyDescent="0.25">
      <c r="A692" s="7" t="s">
        <v>67</v>
      </c>
      <c r="B692" s="148"/>
      <c r="C692" s="148"/>
      <c r="D692" s="164">
        <v>500</v>
      </c>
      <c r="E692" s="164"/>
      <c r="F692" s="164"/>
      <c r="G692" s="194">
        <f t="shared" si="163"/>
        <v>500</v>
      </c>
      <c r="H692" s="218"/>
      <c r="I692" s="296"/>
      <c r="J692" s="296"/>
      <c r="K692" s="164">
        <f t="shared" si="162"/>
        <v>-200</v>
      </c>
      <c r="L692" s="364"/>
      <c r="M692" s="105">
        <v>700</v>
      </c>
      <c r="N692" s="105"/>
      <c r="O692" s="9"/>
      <c r="P692" s="9">
        <f t="shared" si="164"/>
        <v>700</v>
      </c>
      <c r="Q692" s="9"/>
      <c r="R692" s="9"/>
      <c r="S692" s="12"/>
      <c r="T692" s="44">
        <v>1300</v>
      </c>
      <c r="U692" s="44">
        <v>572.24</v>
      </c>
    </row>
    <row r="693" spans="1:24" ht="14.45" customHeight="1" x14ac:dyDescent="0.25">
      <c r="A693" s="7" t="s">
        <v>79</v>
      </c>
      <c r="B693" s="148"/>
      <c r="C693" s="148"/>
      <c r="D693" s="164">
        <v>300</v>
      </c>
      <c r="E693" s="164"/>
      <c r="F693" s="164"/>
      <c r="G693" s="194">
        <f t="shared" si="163"/>
        <v>300</v>
      </c>
      <c r="H693" s="218"/>
      <c r="I693" s="296"/>
      <c r="J693" s="296"/>
      <c r="K693" s="164">
        <f t="shared" si="162"/>
        <v>300</v>
      </c>
      <c r="L693" s="364"/>
      <c r="M693" s="105">
        <v>0</v>
      </c>
      <c r="N693" s="105"/>
      <c r="O693" s="9"/>
      <c r="P693" s="9">
        <f t="shared" si="164"/>
        <v>0</v>
      </c>
      <c r="Q693" s="9"/>
      <c r="R693" s="9"/>
      <c r="S693" s="12">
        <v>249</v>
      </c>
      <c r="T693" s="44"/>
      <c r="U693" s="44"/>
    </row>
    <row r="694" spans="1:24" ht="14.45" customHeight="1" x14ac:dyDescent="0.25">
      <c r="A694" s="7" t="s">
        <v>70</v>
      </c>
      <c r="B694" s="148"/>
      <c r="C694" s="148"/>
      <c r="D694" s="164">
        <v>0</v>
      </c>
      <c r="E694" s="164"/>
      <c r="F694" s="164"/>
      <c r="G694" s="194">
        <f t="shared" si="163"/>
        <v>0</v>
      </c>
      <c r="H694" s="218"/>
      <c r="I694" s="296"/>
      <c r="J694" s="296"/>
      <c r="K694" s="164">
        <f t="shared" si="162"/>
        <v>-540</v>
      </c>
      <c r="L694" s="364"/>
      <c r="M694" s="105">
        <v>540</v>
      </c>
      <c r="N694" s="105"/>
      <c r="O694" s="9"/>
      <c r="P694" s="9">
        <f>M694+N694+O694</f>
        <v>540</v>
      </c>
      <c r="Q694" s="9"/>
      <c r="R694" s="9"/>
      <c r="S694" s="12">
        <v>540</v>
      </c>
      <c r="T694" s="44">
        <v>0</v>
      </c>
      <c r="U694" s="44">
        <v>456.94</v>
      </c>
    </row>
    <row r="695" spans="1:24" ht="14.45" hidden="1" customHeight="1" x14ac:dyDescent="0.25">
      <c r="A695" s="7" t="s">
        <v>79</v>
      </c>
      <c r="B695" s="148"/>
      <c r="C695" s="148"/>
      <c r="D695" s="164"/>
      <c r="E695" s="164"/>
      <c r="F695" s="164"/>
      <c r="G695" s="194"/>
      <c r="H695" s="218"/>
      <c r="I695" s="218"/>
      <c r="J695" s="218"/>
      <c r="K695" s="218"/>
      <c r="L695" s="364"/>
      <c r="M695" s="105"/>
      <c r="N695" s="105"/>
      <c r="O695" s="9"/>
      <c r="P695" s="9"/>
      <c r="Q695" s="9"/>
      <c r="R695" s="9"/>
      <c r="S695" s="12">
        <v>0</v>
      </c>
      <c r="T695" s="44">
        <v>0</v>
      </c>
      <c r="U695" s="44">
        <v>64.48</v>
      </c>
    </row>
    <row r="696" spans="1:24" ht="14.45" customHeight="1" x14ac:dyDescent="0.25">
      <c r="A696" s="140" t="s">
        <v>360</v>
      </c>
      <c r="B696" s="293"/>
      <c r="C696" s="560"/>
      <c r="D696" s="176">
        <f>SUM(D686:D695)</f>
        <v>18000</v>
      </c>
      <c r="E696" s="176">
        <f>SUM(E686:E695)</f>
        <v>0</v>
      </c>
      <c r="F696" s="176">
        <f>SUM(F686:F695)</f>
        <v>0</v>
      </c>
      <c r="G696" s="176">
        <f>SUM(G686:G695)</f>
        <v>18000</v>
      </c>
      <c r="H696" s="224"/>
      <c r="I696" s="224"/>
      <c r="J696" s="224"/>
      <c r="K696" s="176">
        <f>SUM(K686:K695)</f>
        <v>-8140</v>
      </c>
      <c r="L696" s="365"/>
      <c r="M696" s="176">
        <f>SUM(M686:M695)</f>
        <v>26140</v>
      </c>
      <c r="N696" s="176">
        <f>SUM(N686:N695)</f>
        <v>0</v>
      </c>
      <c r="O696" s="176">
        <f>SUM(O686:O695)</f>
        <v>0</v>
      </c>
      <c r="P696" s="176">
        <f>SUM(P686:P695)</f>
        <v>26140</v>
      </c>
      <c r="Q696" s="60">
        <f>P696/P49</f>
        <v>3.9577516821201674E-3</v>
      </c>
      <c r="R696" s="48">
        <f>P696-S696</f>
        <v>-32682247</v>
      </c>
      <c r="S696" s="32">
        <f>SUM(S302:S695)</f>
        <v>32708387</v>
      </c>
      <c r="T696" s="49">
        <v>123381</v>
      </c>
      <c r="U696" s="49">
        <v>79604.100000000006</v>
      </c>
    </row>
    <row r="697" spans="1:24" ht="13.5" customHeight="1" x14ac:dyDescent="0.25">
      <c r="A697" s="61"/>
      <c r="B697" s="69"/>
      <c r="C697" s="69"/>
      <c r="D697" s="178"/>
      <c r="E697" s="178"/>
      <c r="F697" s="178"/>
      <c r="G697" s="178"/>
      <c r="H697" s="212"/>
      <c r="I697" s="212"/>
      <c r="J697" s="212"/>
      <c r="K697" s="212"/>
      <c r="L697" s="328"/>
      <c r="M697" s="51"/>
      <c r="N697" s="51"/>
      <c r="O697" s="51"/>
      <c r="P697" s="61"/>
      <c r="Q697" s="61"/>
      <c r="R697" s="68"/>
      <c r="S697" s="69"/>
      <c r="T697" s="69"/>
      <c r="U697" s="69"/>
    </row>
    <row r="698" spans="1:24" ht="32.25" customHeight="1" x14ac:dyDescent="0.25">
      <c r="A698" s="146" t="s">
        <v>361</v>
      </c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326"/>
      <c r="M698" s="305"/>
      <c r="N698" s="78"/>
      <c r="O698" s="78"/>
      <c r="P698" s="53"/>
      <c r="Q698" s="53"/>
      <c r="R698" s="147"/>
      <c r="S698" s="147"/>
      <c r="T698" s="54"/>
      <c r="U698" s="54"/>
    </row>
    <row r="699" spans="1:24" ht="14.45" hidden="1" customHeight="1" x14ac:dyDescent="0.25">
      <c r="A699" s="7" t="s">
        <v>73</v>
      </c>
      <c r="B699" s="148"/>
      <c r="C699" s="148"/>
      <c r="D699" s="164"/>
      <c r="E699" s="164"/>
      <c r="F699" s="164"/>
      <c r="G699" s="194">
        <f t="shared" ref="G699:G709" si="165">+F699+E699+D699</f>
        <v>0</v>
      </c>
      <c r="H699" s="218"/>
      <c r="I699" s="234"/>
      <c r="J699" s="234"/>
      <c r="K699" s="234"/>
      <c r="L699" s="319"/>
      <c r="M699" s="105"/>
      <c r="N699" s="105"/>
      <c r="O699" s="9"/>
      <c r="P699" s="9">
        <f>M699+N699+O699</f>
        <v>0</v>
      </c>
      <c r="Q699" s="9"/>
      <c r="R699" s="9"/>
      <c r="S699" s="12"/>
      <c r="T699" s="44">
        <v>50000</v>
      </c>
      <c r="U699" s="44">
        <v>50000.08</v>
      </c>
      <c r="V699" s="125">
        <v>115000</v>
      </c>
      <c r="X699" s="12">
        <v>51500</v>
      </c>
    </row>
    <row r="700" spans="1:24" ht="14.45" hidden="1" customHeight="1" x14ac:dyDescent="0.25">
      <c r="A700" s="145" t="s">
        <v>177</v>
      </c>
      <c r="B700" s="539"/>
      <c r="C700" s="554"/>
      <c r="D700" s="169"/>
      <c r="E700" s="169"/>
      <c r="F700" s="169"/>
      <c r="G700" s="194">
        <f t="shared" si="165"/>
        <v>0</v>
      </c>
      <c r="H700" s="218"/>
      <c r="I700" s="234"/>
      <c r="J700" s="234"/>
      <c r="K700" s="234"/>
      <c r="L700" s="319"/>
      <c r="M700" s="105"/>
      <c r="N700" s="105"/>
      <c r="O700" s="67"/>
      <c r="P700" s="9">
        <f t="shared" ref="P700:P738" si="166">M700+N700+O700</f>
        <v>0</v>
      </c>
      <c r="Q700" s="9"/>
      <c r="R700" s="9"/>
      <c r="S700" s="12"/>
      <c r="T700" s="44"/>
      <c r="U700" s="44"/>
      <c r="V700" s="125"/>
      <c r="X700" s="12"/>
    </row>
    <row r="701" spans="1:24" ht="14.45" hidden="1" customHeight="1" x14ac:dyDescent="0.25">
      <c r="A701" s="145" t="s">
        <v>362</v>
      </c>
      <c r="B701" s="539"/>
      <c r="C701" s="554"/>
      <c r="D701" s="169"/>
      <c r="E701" s="169"/>
      <c r="F701" s="169"/>
      <c r="G701" s="194">
        <f t="shared" si="165"/>
        <v>0</v>
      </c>
      <c r="H701" s="218"/>
      <c r="I701" s="234"/>
      <c r="J701" s="234"/>
      <c r="K701" s="234"/>
      <c r="L701" s="319"/>
      <c r="M701" s="105"/>
      <c r="N701" s="105"/>
      <c r="O701" s="67"/>
      <c r="P701" s="9">
        <f t="shared" si="166"/>
        <v>0</v>
      </c>
      <c r="Q701" s="9"/>
      <c r="R701" s="9"/>
      <c r="S701" s="12"/>
      <c r="T701" s="44"/>
      <c r="U701" s="44"/>
      <c r="V701" s="125"/>
      <c r="W701" s="344">
        <v>20000</v>
      </c>
      <c r="X701" s="12"/>
    </row>
    <row r="702" spans="1:24" ht="14.45" hidden="1" customHeight="1" x14ac:dyDescent="0.25">
      <c r="A702" s="7" t="s">
        <v>215</v>
      </c>
      <c r="B702" s="148"/>
      <c r="C702" s="148"/>
      <c r="D702" s="164"/>
      <c r="E702" s="164"/>
      <c r="F702" s="164"/>
      <c r="G702" s="194">
        <f t="shared" si="165"/>
        <v>0</v>
      </c>
      <c r="H702" s="218"/>
      <c r="I702" s="234"/>
      <c r="J702" s="234"/>
      <c r="K702" s="234"/>
      <c r="L702" s="319"/>
      <c r="M702" s="105"/>
      <c r="N702" s="105"/>
      <c r="O702" s="9"/>
      <c r="P702" s="9">
        <f t="shared" si="166"/>
        <v>0</v>
      </c>
      <c r="Q702" s="9"/>
      <c r="R702" s="9"/>
      <c r="S702" s="12"/>
      <c r="T702" s="44">
        <v>4000</v>
      </c>
      <c r="U702" s="44">
        <v>3825.22</v>
      </c>
      <c r="V702" s="125"/>
      <c r="X702" s="12">
        <v>4120</v>
      </c>
    </row>
    <row r="703" spans="1:24" ht="14.45" hidden="1" customHeight="1" x14ac:dyDescent="0.25">
      <c r="A703" s="7" t="s">
        <v>55</v>
      </c>
      <c r="B703" s="148"/>
      <c r="C703" s="148"/>
      <c r="D703" s="164"/>
      <c r="E703" s="164"/>
      <c r="F703" s="164"/>
      <c r="G703" s="194">
        <f t="shared" si="165"/>
        <v>0</v>
      </c>
      <c r="H703" s="218"/>
      <c r="I703" s="234"/>
      <c r="J703" s="234"/>
      <c r="K703" s="234"/>
      <c r="L703" s="319"/>
      <c r="M703" s="105"/>
      <c r="N703" s="105"/>
      <c r="O703" s="9"/>
      <c r="P703" s="9">
        <f t="shared" si="166"/>
        <v>0</v>
      </c>
      <c r="Q703" s="9"/>
      <c r="R703" s="9"/>
      <c r="S703" s="12"/>
      <c r="T703" s="44">
        <v>0</v>
      </c>
      <c r="U703" s="44">
        <v>9564</v>
      </c>
      <c r="V703" s="125"/>
      <c r="X703" s="12">
        <v>10042</v>
      </c>
    </row>
    <row r="704" spans="1:24" ht="14.45" hidden="1" customHeight="1" x14ac:dyDescent="0.25">
      <c r="A704" s="7" t="s">
        <v>84</v>
      </c>
      <c r="B704" s="148"/>
      <c r="C704" s="148"/>
      <c r="D704" s="164"/>
      <c r="E704" s="164"/>
      <c r="F704" s="164"/>
      <c r="G704" s="194">
        <f t="shared" si="165"/>
        <v>0</v>
      </c>
      <c r="H704" s="218"/>
      <c r="I704" s="234"/>
      <c r="J704" s="234"/>
      <c r="K704" s="234"/>
      <c r="L704" s="319"/>
      <c r="M704" s="105"/>
      <c r="N704" s="105"/>
      <c r="O704" s="9"/>
      <c r="P704" s="9">
        <f t="shared" si="166"/>
        <v>0</v>
      </c>
      <c r="Q704" s="9"/>
      <c r="R704" s="9"/>
      <c r="S704" s="12"/>
      <c r="T704" s="44">
        <v>0</v>
      </c>
      <c r="U704" s="44">
        <v>0</v>
      </c>
      <c r="V704" s="125"/>
      <c r="X704" s="12">
        <v>2000</v>
      </c>
    </row>
    <row r="705" spans="1:24" ht="14.45" hidden="1" customHeight="1" x14ac:dyDescent="0.25">
      <c r="A705" s="7" t="s">
        <v>57</v>
      </c>
      <c r="B705" s="148"/>
      <c r="C705" s="148"/>
      <c r="D705" s="164"/>
      <c r="E705" s="164"/>
      <c r="F705" s="164"/>
      <c r="G705" s="194">
        <f t="shared" si="165"/>
        <v>0</v>
      </c>
      <c r="H705" s="218"/>
      <c r="I705" s="234"/>
      <c r="J705" s="234"/>
      <c r="K705" s="234"/>
      <c r="L705" s="319"/>
      <c r="M705" s="105"/>
      <c r="N705" s="105"/>
      <c r="O705" s="9"/>
      <c r="P705" s="9">
        <f t="shared" si="166"/>
        <v>0</v>
      </c>
      <c r="Q705" s="9"/>
      <c r="R705" s="9"/>
      <c r="S705" s="12"/>
      <c r="T705" s="44">
        <v>300</v>
      </c>
      <c r="U705" s="44">
        <v>401.49</v>
      </c>
      <c r="V705" s="125"/>
      <c r="X705" s="12">
        <v>308</v>
      </c>
    </row>
    <row r="706" spans="1:24" ht="14.45" hidden="1" customHeight="1" x14ac:dyDescent="0.25">
      <c r="A706" s="7" t="s">
        <v>59</v>
      </c>
      <c r="B706" s="148"/>
      <c r="C706" s="148"/>
      <c r="D706" s="164"/>
      <c r="E706" s="164"/>
      <c r="F706" s="164"/>
      <c r="G706" s="194">
        <f t="shared" si="165"/>
        <v>0</v>
      </c>
      <c r="H706" s="218"/>
      <c r="I706" s="234"/>
      <c r="J706" s="234"/>
      <c r="K706" s="234"/>
      <c r="L706" s="319"/>
      <c r="M706" s="105"/>
      <c r="N706" s="105"/>
      <c r="O706" s="9"/>
      <c r="P706" s="9">
        <f t="shared" si="166"/>
        <v>0</v>
      </c>
      <c r="Q706" s="9"/>
      <c r="R706" s="9"/>
      <c r="S706" s="12"/>
      <c r="T706" s="44">
        <v>4500</v>
      </c>
      <c r="U706" s="44">
        <v>4499.8999999999996</v>
      </c>
      <c r="V706" s="125"/>
      <c r="X706" s="12">
        <v>4635</v>
      </c>
    </row>
    <row r="707" spans="1:24" ht="14.45" hidden="1" customHeight="1" x14ac:dyDescent="0.25">
      <c r="A707" s="7" t="s">
        <v>60</v>
      </c>
      <c r="B707" s="148"/>
      <c r="C707" s="148"/>
      <c r="D707" s="164"/>
      <c r="E707" s="164"/>
      <c r="F707" s="164"/>
      <c r="G707" s="194">
        <f t="shared" si="165"/>
        <v>0</v>
      </c>
      <c r="H707" s="218"/>
      <c r="I707" s="234"/>
      <c r="J707" s="234"/>
      <c r="K707" s="234"/>
      <c r="L707" s="319"/>
      <c r="M707" s="105"/>
      <c r="N707" s="105"/>
      <c r="O707" s="9"/>
      <c r="P707" s="9">
        <f t="shared" si="166"/>
        <v>0</v>
      </c>
      <c r="Q707" s="9"/>
      <c r="R707" s="9"/>
      <c r="S707" s="12">
        <v>0</v>
      </c>
      <c r="T707" s="44">
        <v>500</v>
      </c>
      <c r="U707" s="44">
        <v>118.43</v>
      </c>
      <c r="V707" s="419"/>
      <c r="X707" s="421">
        <v>0</v>
      </c>
    </row>
    <row r="708" spans="1:24" ht="14.45" customHeight="1" x14ac:dyDescent="0.25">
      <c r="A708" s="7" t="s">
        <v>61</v>
      </c>
      <c r="B708" s="148"/>
      <c r="C708" s="148"/>
      <c r="D708" s="164"/>
      <c r="E708" s="164"/>
      <c r="F708" s="254">
        <v>200</v>
      </c>
      <c r="G708" s="194">
        <f t="shared" si="165"/>
        <v>200</v>
      </c>
      <c r="H708" s="218"/>
      <c r="I708" s="296"/>
      <c r="J708" s="296"/>
      <c r="K708" s="164">
        <f t="shared" ref="K708:K738" si="167">+G708-P708</f>
        <v>200</v>
      </c>
      <c r="L708" s="364"/>
      <c r="M708" s="105"/>
      <c r="N708" s="105"/>
      <c r="O708" s="9"/>
      <c r="P708" s="9">
        <f t="shared" si="166"/>
        <v>0</v>
      </c>
      <c r="Q708" s="9"/>
      <c r="R708" s="9"/>
      <c r="S708" s="12"/>
      <c r="T708" s="44">
        <v>250</v>
      </c>
      <c r="U708" s="251">
        <v>0</v>
      </c>
      <c r="V708" s="420"/>
      <c r="X708" s="253"/>
    </row>
    <row r="709" spans="1:24" ht="14.45" customHeight="1" x14ac:dyDescent="0.25">
      <c r="A709" s="7" t="s">
        <v>96</v>
      </c>
      <c r="B709" s="148"/>
      <c r="C709" s="148"/>
      <c r="D709" s="164"/>
      <c r="E709" s="164"/>
      <c r="F709" s="254">
        <v>1000</v>
      </c>
      <c r="G709" s="194">
        <f t="shared" si="165"/>
        <v>1000</v>
      </c>
      <c r="H709" s="218"/>
      <c r="I709" s="296"/>
      <c r="J709" s="296"/>
      <c r="K709" s="164">
        <f t="shared" si="167"/>
        <v>1000</v>
      </c>
      <c r="L709" s="364"/>
      <c r="M709" s="105"/>
      <c r="N709" s="105"/>
      <c r="O709" s="9"/>
      <c r="P709" s="9">
        <f t="shared" si="166"/>
        <v>0</v>
      </c>
      <c r="Q709" s="9"/>
      <c r="R709" s="9"/>
      <c r="S709" s="12"/>
      <c r="T709" s="44">
        <v>1000</v>
      </c>
      <c r="U709" s="251">
        <v>329.83</v>
      </c>
      <c r="V709" s="420"/>
      <c r="X709" s="253"/>
    </row>
    <row r="710" spans="1:24" ht="14.45" customHeight="1" x14ac:dyDescent="0.25">
      <c r="A710" s="145" t="s">
        <v>63</v>
      </c>
      <c r="B710" s="148"/>
      <c r="C710" s="554"/>
      <c r="D710" s="169"/>
      <c r="E710" s="169"/>
      <c r="F710" s="280">
        <v>400</v>
      </c>
      <c r="G710" s="194">
        <f t="shared" ref="G710" si="168">+F710+E710+D710</f>
        <v>400</v>
      </c>
      <c r="H710" s="218"/>
      <c r="I710" s="296"/>
      <c r="J710" s="296"/>
      <c r="K710" s="164">
        <f t="shared" si="167"/>
        <v>400</v>
      </c>
      <c r="L710" s="364"/>
      <c r="M710" s="105"/>
      <c r="N710" s="105"/>
      <c r="O710" s="9"/>
      <c r="P710" s="9">
        <f t="shared" si="166"/>
        <v>0</v>
      </c>
      <c r="Q710" s="9"/>
      <c r="R710" s="9"/>
      <c r="S710" s="12"/>
      <c r="T710" s="44"/>
      <c r="U710" s="58"/>
      <c r="V710" s="420"/>
      <c r="X710" s="253"/>
    </row>
    <row r="711" spans="1:24" ht="14.45" customHeight="1" x14ac:dyDescent="0.25">
      <c r="A711" s="145" t="s">
        <v>182</v>
      </c>
      <c r="B711" s="148"/>
      <c r="C711" s="554"/>
      <c r="D711" s="169"/>
      <c r="E711" s="169"/>
      <c r="F711" s="280">
        <v>200</v>
      </c>
      <c r="G711" s="194">
        <f t="shared" ref="G711:G738" si="169">+F711+E711+D711</f>
        <v>200</v>
      </c>
      <c r="H711" s="218"/>
      <c r="I711" s="296"/>
      <c r="J711" s="296"/>
      <c r="K711" s="164">
        <f t="shared" si="167"/>
        <v>200</v>
      </c>
      <c r="L711" s="364"/>
      <c r="M711" s="105"/>
      <c r="N711" s="105"/>
      <c r="O711" s="9"/>
      <c r="P711" s="9">
        <f t="shared" si="166"/>
        <v>0</v>
      </c>
      <c r="Q711" s="9"/>
      <c r="R711" s="9"/>
      <c r="S711" s="12"/>
      <c r="T711" s="44"/>
      <c r="U711" s="58"/>
      <c r="V711" s="420"/>
      <c r="X711" s="253"/>
    </row>
    <row r="712" spans="1:24" ht="14.45" customHeight="1" x14ac:dyDescent="0.25">
      <c r="A712" s="7" t="s">
        <v>65</v>
      </c>
      <c r="B712" s="148"/>
      <c r="C712" s="148"/>
      <c r="D712" s="164"/>
      <c r="E712" s="164"/>
      <c r="F712" s="254">
        <v>2000</v>
      </c>
      <c r="G712" s="194">
        <f t="shared" si="169"/>
        <v>2000</v>
      </c>
      <c r="H712" s="218"/>
      <c r="I712" s="296"/>
      <c r="J712" s="296"/>
      <c r="K712" s="164">
        <f t="shared" si="167"/>
        <v>2000</v>
      </c>
      <c r="L712" s="364"/>
      <c r="M712" s="105"/>
      <c r="N712" s="105"/>
      <c r="O712" s="9"/>
      <c r="P712" s="9">
        <f t="shared" si="166"/>
        <v>0</v>
      </c>
      <c r="Q712" s="9"/>
      <c r="R712" s="9"/>
      <c r="S712" s="12"/>
      <c r="T712" s="44">
        <v>500</v>
      </c>
      <c r="U712" s="251">
        <v>152.94</v>
      </c>
      <c r="V712" s="420"/>
      <c r="X712" s="253"/>
    </row>
    <row r="713" spans="1:24" ht="14.45" customHeight="1" x14ac:dyDescent="0.25">
      <c r="A713" s="144" t="s">
        <v>97</v>
      </c>
      <c r="B713" s="148"/>
      <c r="C713" s="554"/>
      <c r="D713" s="168"/>
      <c r="E713" s="168"/>
      <c r="F713" s="280"/>
      <c r="G713" s="194">
        <f t="shared" si="169"/>
        <v>0</v>
      </c>
      <c r="H713" s="221"/>
      <c r="I713" s="442"/>
      <c r="J713" s="442"/>
      <c r="K713" s="164">
        <f t="shared" si="167"/>
        <v>-141500</v>
      </c>
      <c r="L713" s="368"/>
      <c r="M713" s="204"/>
      <c r="N713" s="105">
        <v>121500</v>
      </c>
      <c r="O713" s="119">
        <v>20000</v>
      </c>
      <c r="P713" s="67">
        <f t="shared" si="166"/>
        <v>141500</v>
      </c>
      <c r="Q713" s="9"/>
      <c r="R713" s="9"/>
      <c r="S713" s="12">
        <v>97105</v>
      </c>
      <c r="T713" s="44"/>
      <c r="U713" s="44"/>
      <c r="W713" s="343" t="s">
        <v>473</v>
      </c>
    </row>
    <row r="714" spans="1:24" ht="14.45" customHeight="1" x14ac:dyDescent="0.25">
      <c r="A714" s="144" t="s">
        <v>363</v>
      </c>
      <c r="B714" s="148"/>
      <c r="C714" s="554"/>
      <c r="D714" s="168"/>
      <c r="E714" s="168"/>
      <c r="F714" s="280"/>
      <c r="G714" s="194">
        <f t="shared" si="169"/>
        <v>0</v>
      </c>
      <c r="H714" s="221"/>
      <c r="I714" s="442"/>
      <c r="J714" s="442"/>
      <c r="K714" s="164">
        <f t="shared" si="167"/>
        <v>-5000</v>
      </c>
      <c r="L714" s="368"/>
      <c r="M714" s="204"/>
      <c r="N714" s="204">
        <v>5000</v>
      </c>
      <c r="O714" s="67"/>
      <c r="P714" s="67">
        <f t="shared" si="166"/>
        <v>5000</v>
      </c>
      <c r="Q714" s="9"/>
      <c r="R714" s="9"/>
      <c r="S714" s="12"/>
      <c r="T714" s="44"/>
      <c r="U714" s="90"/>
    </row>
    <row r="715" spans="1:24" ht="14.45" customHeight="1" x14ac:dyDescent="0.25">
      <c r="A715" s="145" t="s">
        <v>245</v>
      </c>
      <c r="B715" s="148"/>
      <c r="C715" s="554"/>
      <c r="D715" s="164"/>
      <c r="E715" s="164"/>
      <c r="F715" s="254"/>
      <c r="G715" s="194">
        <f t="shared" si="169"/>
        <v>0</v>
      </c>
      <c r="H715" s="218"/>
      <c r="I715" s="296"/>
      <c r="J715" s="296"/>
      <c r="K715" s="164">
        <f t="shared" si="167"/>
        <v>0</v>
      </c>
      <c r="L715" s="364"/>
      <c r="M715" s="105"/>
      <c r="N715" s="105"/>
      <c r="O715" s="9"/>
      <c r="P715" s="67">
        <f t="shared" si="166"/>
        <v>0</v>
      </c>
      <c r="Q715" s="9"/>
      <c r="R715" s="9"/>
      <c r="S715" s="12">
        <v>0</v>
      </c>
      <c r="T715" s="44">
        <v>250</v>
      </c>
      <c r="U715" s="44">
        <v>80.489999999999995</v>
      </c>
    </row>
    <row r="716" spans="1:24" ht="14.45" customHeight="1" x14ac:dyDescent="0.25">
      <c r="A716" s="145" t="s">
        <v>364</v>
      </c>
      <c r="B716" s="148"/>
      <c r="C716" s="554"/>
      <c r="D716" s="164"/>
      <c r="E716" s="164"/>
      <c r="F716" s="254"/>
      <c r="G716" s="194">
        <f t="shared" si="169"/>
        <v>0</v>
      </c>
      <c r="H716" s="218"/>
      <c r="I716" s="296"/>
      <c r="J716" s="296"/>
      <c r="K716" s="164">
        <f t="shared" si="167"/>
        <v>0</v>
      </c>
      <c r="L716" s="364"/>
      <c r="M716" s="105"/>
      <c r="N716" s="105"/>
      <c r="O716" s="67"/>
      <c r="P716" s="67">
        <f t="shared" si="166"/>
        <v>0</v>
      </c>
      <c r="Q716" s="9"/>
      <c r="R716" s="9"/>
      <c r="S716" s="12">
        <v>25000</v>
      </c>
      <c r="T716" s="44">
        <v>15000</v>
      </c>
      <c r="U716" s="44">
        <v>18423.48</v>
      </c>
    </row>
    <row r="717" spans="1:24" ht="14.45" customHeight="1" x14ac:dyDescent="0.25">
      <c r="A717" s="145" t="s">
        <v>365</v>
      </c>
      <c r="B717" s="148"/>
      <c r="C717" s="554"/>
      <c r="D717" s="169"/>
      <c r="E717" s="280"/>
      <c r="F717" s="280">
        <v>15000</v>
      </c>
      <c r="G717" s="194">
        <f t="shared" si="169"/>
        <v>15000</v>
      </c>
      <c r="H717" s="218"/>
      <c r="I717" s="296"/>
      <c r="J717" s="296"/>
      <c r="K717" s="164">
        <f t="shared" si="167"/>
        <v>0</v>
      </c>
      <c r="L717" s="364"/>
      <c r="M717" s="105"/>
      <c r="N717" s="105"/>
      <c r="O717" s="119">
        <v>15000</v>
      </c>
      <c r="P717" s="67">
        <f t="shared" si="166"/>
        <v>15000</v>
      </c>
      <c r="Q717" s="9"/>
      <c r="R717" s="9"/>
      <c r="S717" s="12"/>
      <c r="T717" s="44"/>
      <c r="U717" s="90"/>
    </row>
    <row r="718" spans="1:24" ht="14.45" customHeight="1" x14ac:dyDescent="0.25">
      <c r="A718" s="145" t="s">
        <v>440</v>
      </c>
      <c r="B718" s="148"/>
      <c r="C718" s="554"/>
      <c r="D718" s="169"/>
      <c r="E718" s="280"/>
      <c r="F718" s="280">
        <v>13000</v>
      </c>
      <c r="G718" s="194">
        <f t="shared" si="169"/>
        <v>13000</v>
      </c>
      <c r="H718" s="218"/>
      <c r="I718" s="296"/>
      <c r="J718" s="296"/>
      <c r="K718" s="164">
        <f t="shared" si="167"/>
        <v>13000</v>
      </c>
      <c r="L718" s="364"/>
      <c r="M718" s="105"/>
      <c r="N718" s="105"/>
      <c r="O718" s="119"/>
      <c r="P718" s="67"/>
      <c r="Q718" s="9"/>
      <c r="R718" s="9"/>
      <c r="S718" s="12"/>
      <c r="T718" s="44"/>
      <c r="U718" s="90"/>
    </row>
    <row r="719" spans="1:24" ht="14.45" customHeight="1" x14ac:dyDescent="0.25">
      <c r="A719" s="7" t="s">
        <v>106</v>
      </c>
      <c r="B719" s="148"/>
      <c r="C719" s="148"/>
      <c r="D719" s="164"/>
      <c r="E719" s="164"/>
      <c r="F719" s="254"/>
      <c r="G719" s="194">
        <f t="shared" si="169"/>
        <v>0</v>
      </c>
      <c r="H719" s="218"/>
      <c r="I719" s="296"/>
      <c r="J719" s="296"/>
      <c r="K719" s="164">
        <f t="shared" si="167"/>
        <v>-1000</v>
      </c>
      <c r="L719" s="364"/>
      <c r="M719" s="105"/>
      <c r="N719" s="105"/>
      <c r="O719" s="119">
        <v>1000</v>
      </c>
      <c r="P719" s="67">
        <f t="shared" si="166"/>
        <v>1000</v>
      </c>
      <c r="Q719" s="9"/>
      <c r="R719" s="9"/>
      <c r="S719" s="12">
        <v>1000</v>
      </c>
      <c r="T719" s="44">
        <v>1000</v>
      </c>
      <c r="U719" s="44">
        <v>499.04</v>
      </c>
    </row>
    <row r="720" spans="1:24" ht="14.45" customHeight="1" x14ac:dyDescent="0.25">
      <c r="A720" s="7" t="s">
        <v>88</v>
      </c>
      <c r="B720" s="148"/>
      <c r="C720" s="148"/>
      <c r="D720" s="164"/>
      <c r="E720" s="164"/>
      <c r="F720" s="254"/>
      <c r="G720" s="194">
        <f t="shared" si="169"/>
        <v>0</v>
      </c>
      <c r="H720" s="218"/>
      <c r="I720" s="296"/>
      <c r="J720" s="296"/>
      <c r="K720" s="164">
        <f t="shared" si="167"/>
        <v>-3000</v>
      </c>
      <c r="L720" s="364"/>
      <c r="M720" s="105"/>
      <c r="N720" s="105"/>
      <c r="O720" s="119">
        <v>3000</v>
      </c>
      <c r="P720" s="67">
        <f t="shared" si="166"/>
        <v>3000</v>
      </c>
      <c r="Q720" s="9"/>
      <c r="R720" s="9"/>
      <c r="S720" s="12">
        <v>3000</v>
      </c>
      <c r="T720" s="44">
        <v>1200</v>
      </c>
      <c r="U720" s="44">
        <v>3862.42</v>
      </c>
    </row>
    <row r="721" spans="1:21" ht="14.45" customHeight="1" x14ac:dyDescent="0.25">
      <c r="A721" s="7" t="s">
        <v>366</v>
      </c>
      <c r="B721" s="148"/>
      <c r="C721" s="148"/>
      <c r="D721" s="164"/>
      <c r="E721" s="164"/>
      <c r="F721" s="254"/>
      <c r="G721" s="194">
        <f t="shared" si="169"/>
        <v>0</v>
      </c>
      <c r="H721" s="218"/>
      <c r="I721" s="296"/>
      <c r="J721" s="296"/>
      <c r="K721" s="164">
        <f t="shared" si="167"/>
        <v>0</v>
      </c>
      <c r="L721" s="364"/>
      <c r="M721" s="105"/>
      <c r="N721" s="105"/>
      <c r="O721" s="9"/>
      <c r="P721" s="67">
        <f t="shared" si="166"/>
        <v>0</v>
      </c>
      <c r="Q721" s="9"/>
      <c r="R721" s="9"/>
      <c r="S721" s="12">
        <v>3000</v>
      </c>
      <c r="T721" s="44">
        <v>0</v>
      </c>
      <c r="U721" s="44">
        <v>20</v>
      </c>
    </row>
    <row r="722" spans="1:21" ht="14.45" customHeight="1" x14ac:dyDescent="0.25">
      <c r="A722" s="7" t="s">
        <v>265</v>
      </c>
      <c r="B722" s="148"/>
      <c r="C722" s="148"/>
      <c r="D722" s="164"/>
      <c r="E722" s="164"/>
      <c r="F722" s="254"/>
      <c r="G722" s="194">
        <f t="shared" si="169"/>
        <v>0</v>
      </c>
      <c r="H722" s="218"/>
      <c r="I722" s="296"/>
      <c r="J722" s="296"/>
      <c r="K722" s="164">
        <f t="shared" si="167"/>
        <v>0</v>
      </c>
      <c r="L722" s="364"/>
      <c r="M722" s="105"/>
      <c r="N722" s="105"/>
      <c r="O722" s="9"/>
      <c r="P722" s="67">
        <f t="shared" si="166"/>
        <v>0</v>
      </c>
      <c r="Q722" s="9"/>
      <c r="R722" s="9"/>
      <c r="S722" s="12">
        <v>7000</v>
      </c>
      <c r="T722" s="44">
        <v>2000</v>
      </c>
      <c r="U722" s="44">
        <v>2800.76</v>
      </c>
    </row>
    <row r="723" spans="1:21" ht="14.45" customHeight="1" x14ac:dyDescent="0.25">
      <c r="A723" s="7" t="s">
        <v>108</v>
      </c>
      <c r="B723" s="148"/>
      <c r="C723" s="148"/>
      <c r="D723" s="164"/>
      <c r="E723" s="164"/>
      <c r="F723" s="254"/>
      <c r="G723" s="194">
        <f t="shared" si="169"/>
        <v>0</v>
      </c>
      <c r="H723" s="218"/>
      <c r="I723" s="296"/>
      <c r="J723" s="296"/>
      <c r="K723" s="164">
        <f t="shared" si="167"/>
        <v>0</v>
      </c>
      <c r="L723" s="364"/>
      <c r="M723" s="105"/>
      <c r="N723" s="105"/>
      <c r="O723" s="9"/>
      <c r="P723" s="67">
        <f t="shared" si="166"/>
        <v>0</v>
      </c>
      <c r="Q723" s="9"/>
      <c r="R723" s="9"/>
      <c r="S723" s="12">
        <v>0</v>
      </c>
      <c r="T723" s="44">
        <v>0</v>
      </c>
      <c r="U723" s="44">
        <v>300</v>
      </c>
    </row>
    <row r="724" spans="1:21" ht="14.45" customHeight="1" x14ac:dyDescent="0.25">
      <c r="A724" s="7" t="s">
        <v>367</v>
      </c>
      <c r="B724" s="148"/>
      <c r="C724" s="148"/>
      <c r="D724" s="164"/>
      <c r="E724" s="164"/>
      <c r="F724" s="254"/>
      <c r="G724" s="194">
        <f t="shared" si="169"/>
        <v>0</v>
      </c>
      <c r="H724" s="218"/>
      <c r="I724" s="296"/>
      <c r="J724" s="296"/>
      <c r="K724" s="164">
        <f t="shared" si="167"/>
        <v>-500</v>
      </c>
      <c r="L724" s="364"/>
      <c r="M724" s="105"/>
      <c r="N724" s="105"/>
      <c r="O724" s="119">
        <v>500</v>
      </c>
      <c r="P724" s="67">
        <f t="shared" si="166"/>
        <v>500</v>
      </c>
      <c r="Q724" s="9"/>
      <c r="R724" s="9"/>
      <c r="S724" s="12">
        <v>500</v>
      </c>
      <c r="T724" s="44">
        <v>0</v>
      </c>
      <c r="U724" s="44">
        <v>0</v>
      </c>
    </row>
    <row r="725" spans="1:21" ht="14.45" customHeight="1" x14ac:dyDescent="0.25">
      <c r="A725" s="7" t="s">
        <v>168</v>
      </c>
      <c r="B725" s="148"/>
      <c r="C725" s="148"/>
      <c r="D725" s="164">
        <v>0</v>
      </c>
      <c r="E725" s="164"/>
      <c r="F725" s="254">
        <v>1500</v>
      </c>
      <c r="G725" s="194">
        <f t="shared" si="169"/>
        <v>1500</v>
      </c>
      <c r="H725" s="218"/>
      <c r="I725" s="296"/>
      <c r="J725" s="296"/>
      <c r="K725" s="164">
        <f t="shared" si="167"/>
        <v>1500</v>
      </c>
      <c r="L725" s="364"/>
      <c r="M725" s="105"/>
      <c r="N725" s="105"/>
      <c r="O725" s="9"/>
      <c r="P725" s="67">
        <f t="shared" si="166"/>
        <v>0</v>
      </c>
      <c r="Q725" s="9"/>
      <c r="R725" s="9"/>
      <c r="S725" s="12">
        <v>1000</v>
      </c>
      <c r="T725" s="44">
        <v>2500</v>
      </c>
      <c r="U725" s="44">
        <v>430.4</v>
      </c>
    </row>
    <row r="726" spans="1:21" ht="14.45" customHeight="1" x14ac:dyDescent="0.25">
      <c r="A726" s="7" t="s">
        <v>368</v>
      </c>
      <c r="B726" s="148"/>
      <c r="C726" s="148"/>
      <c r="D726" s="164"/>
      <c r="E726" s="164"/>
      <c r="F726" s="254"/>
      <c r="G726" s="194">
        <f t="shared" si="169"/>
        <v>0</v>
      </c>
      <c r="H726" s="218"/>
      <c r="I726" s="296"/>
      <c r="J726" s="296"/>
      <c r="K726" s="164">
        <f t="shared" si="167"/>
        <v>0</v>
      </c>
      <c r="L726" s="364"/>
      <c r="M726" s="105"/>
      <c r="N726" s="105"/>
      <c r="O726" s="9"/>
      <c r="P726" s="67">
        <f t="shared" si="166"/>
        <v>0</v>
      </c>
      <c r="Q726" s="9"/>
      <c r="R726" s="9"/>
      <c r="S726" s="12">
        <v>12500</v>
      </c>
      <c r="T726" s="44">
        <v>10000</v>
      </c>
      <c r="U726" s="44">
        <v>0</v>
      </c>
    </row>
    <row r="727" spans="1:21" ht="14.45" customHeight="1" x14ac:dyDescent="0.25">
      <c r="A727" s="7" t="s">
        <v>369</v>
      </c>
      <c r="B727" s="148"/>
      <c r="C727" s="148"/>
      <c r="D727" s="164"/>
      <c r="E727" s="164"/>
      <c r="F727" s="254"/>
      <c r="G727" s="194">
        <f t="shared" si="169"/>
        <v>0</v>
      </c>
      <c r="H727" s="218"/>
      <c r="I727" s="296"/>
      <c r="J727" s="296"/>
      <c r="K727" s="164">
        <f t="shared" si="167"/>
        <v>0</v>
      </c>
      <c r="L727" s="364"/>
      <c r="M727" s="105"/>
      <c r="N727" s="105"/>
      <c r="O727" s="9"/>
      <c r="P727" s="67">
        <f t="shared" si="166"/>
        <v>0</v>
      </c>
      <c r="Q727" s="9"/>
      <c r="R727" s="9"/>
      <c r="S727" s="12">
        <v>0</v>
      </c>
      <c r="T727" s="44">
        <v>5000</v>
      </c>
      <c r="U727" s="44">
        <v>14867.41</v>
      </c>
    </row>
    <row r="728" spans="1:21" ht="14.45" customHeight="1" x14ac:dyDescent="0.25">
      <c r="A728" s="7" t="s">
        <v>67</v>
      </c>
      <c r="B728" s="148"/>
      <c r="C728" s="148"/>
      <c r="D728" s="164"/>
      <c r="E728" s="164"/>
      <c r="F728" s="254"/>
      <c r="G728" s="194">
        <f t="shared" si="169"/>
        <v>0</v>
      </c>
      <c r="H728" s="218"/>
      <c r="I728" s="296"/>
      <c r="J728" s="296"/>
      <c r="K728" s="164">
        <f t="shared" si="167"/>
        <v>-1500</v>
      </c>
      <c r="L728" s="364"/>
      <c r="M728" s="105"/>
      <c r="N728" s="105"/>
      <c r="O728" s="119">
        <v>1500</v>
      </c>
      <c r="P728" s="67">
        <f t="shared" si="166"/>
        <v>1500</v>
      </c>
      <c r="Q728" s="9"/>
      <c r="R728" s="9"/>
      <c r="S728" s="12">
        <v>2000</v>
      </c>
      <c r="T728" s="44">
        <v>1000</v>
      </c>
      <c r="U728" s="44">
        <v>1251.44</v>
      </c>
    </row>
    <row r="729" spans="1:21" ht="14.45" customHeight="1" x14ac:dyDescent="0.25">
      <c r="A729" s="7" t="s">
        <v>370</v>
      </c>
      <c r="B729" s="148"/>
      <c r="C729" s="148"/>
      <c r="D729" s="164"/>
      <c r="E729" s="164"/>
      <c r="F729" s="254"/>
      <c r="G729" s="194">
        <f t="shared" si="169"/>
        <v>0</v>
      </c>
      <c r="H729" s="218"/>
      <c r="I729" s="296"/>
      <c r="J729" s="296"/>
      <c r="K729" s="164">
        <f t="shared" si="167"/>
        <v>-1000</v>
      </c>
      <c r="L729" s="364"/>
      <c r="M729" s="105"/>
      <c r="N729" s="105"/>
      <c r="O729" s="119">
        <v>1000</v>
      </c>
      <c r="P729" s="67">
        <f t="shared" si="166"/>
        <v>1000</v>
      </c>
      <c r="Q729" s="9"/>
      <c r="R729" s="9"/>
      <c r="S729" s="12">
        <v>2000</v>
      </c>
      <c r="T729" s="44">
        <v>0</v>
      </c>
      <c r="U729" s="44">
        <v>0</v>
      </c>
    </row>
    <row r="730" spans="1:21" ht="14.45" customHeight="1" x14ac:dyDescent="0.25">
      <c r="A730" s="7" t="s">
        <v>102</v>
      </c>
      <c r="B730" s="148"/>
      <c r="C730" s="148"/>
      <c r="D730" s="164"/>
      <c r="E730" s="164"/>
      <c r="F730" s="254"/>
      <c r="G730" s="194">
        <f t="shared" si="169"/>
        <v>0</v>
      </c>
      <c r="H730" s="218"/>
      <c r="I730" s="296"/>
      <c r="J730" s="296"/>
      <c r="K730" s="164">
        <f t="shared" si="167"/>
        <v>0</v>
      </c>
      <c r="L730" s="364"/>
      <c r="M730" s="105"/>
      <c r="N730" s="105"/>
      <c r="O730" s="9"/>
      <c r="P730" s="67">
        <f t="shared" si="166"/>
        <v>0</v>
      </c>
      <c r="Q730" s="9"/>
      <c r="R730" s="9"/>
      <c r="S730" s="12">
        <v>0</v>
      </c>
      <c r="T730" s="44">
        <v>64838</v>
      </c>
      <c r="U730" s="44">
        <v>362.97</v>
      </c>
    </row>
    <row r="731" spans="1:21" ht="14.45" customHeight="1" x14ac:dyDescent="0.25">
      <c r="A731" s="7" t="s">
        <v>91</v>
      </c>
      <c r="B731" s="148"/>
      <c r="C731" s="148"/>
      <c r="D731" s="164">
        <v>0</v>
      </c>
      <c r="E731" s="164"/>
      <c r="F731" s="254">
        <v>540</v>
      </c>
      <c r="G731" s="194">
        <f t="shared" si="169"/>
        <v>540</v>
      </c>
      <c r="H731" s="218"/>
      <c r="I731" s="296"/>
      <c r="J731" s="296"/>
      <c r="K731" s="164">
        <f t="shared" si="167"/>
        <v>-1460</v>
      </c>
      <c r="L731" s="364"/>
      <c r="M731" s="105"/>
      <c r="N731" s="105"/>
      <c r="O731" s="119">
        <v>2000</v>
      </c>
      <c r="P731" s="67">
        <f t="shared" si="166"/>
        <v>2000</v>
      </c>
      <c r="Q731" s="9"/>
      <c r="R731" s="9"/>
      <c r="S731" s="12">
        <v>1500</v>
      </c>
      <c r="T731" s="44">
        <v>2500</v>
      </c>
      <c r="U731" s="44">
        <v>1602.39</v>
      </c>
    </row>
    <row r="732" spans="1:21" ht="14.45" customHeight="1" x14ac:dyDescent="0.25">
      <c r="A732" s="7" t="s">
        <v>371</v>
      </c>
      <c r="B732" s="148"/>
      <c r="C732" s="148"/>
      <c r="D732" s="164"/>
      <c r="E732" s="164"/>
      <c r="F732" s="254"/>
      <c r="G732" s="194">
        <f t="shared" si="169"/>
        <v>0</v>
      </c>
      <c r="H732" s="218"/>
      <c r="I732" s="296"/>
      <c r="J732" s="296"/>
      <c r="K732" s="164">
        <f t="shared" si="167"/>
        <v>0</v>
      </c>
      <c r="L732" s="364"/>
      <c r="M732" s="105"/>
      <c r="N732" s="105"/>
      <c r="O732" s="9"/>
      <c r="P732" s="67">
        <f t="shared" si="166"/>
        <v>0</v>
      </c>
      <c r="Q732" s="9"/>
      <c r="R732" s="9"/>
      <c r="S732" s="12">
        <v>3000</v>
      </c>
      <c r="T732" s="44">
        <v>5000</v>
      </c>
      <c r="U732" s="44">
        <v>4549.97</v>
      </c>
    </row>
    <row r="733" spans="1:21" ht="14.45" customHeight="1" x14ac:dyDescent="0.25">
      <c r="A733" s="7" t="s">
        <v>123</v>
      </c>
      <c r="B733" s="148"/>
      <c r="C733" s="148"/>
      <c r="D733" s="164"/>
      <c r="E733" s="164"/>
      <c r="F733" s="254"/>
      <c r="G733" s="194">
        <f t="shared" si="169"/>
        <v>0</v>
      </c>
      <c r="H733" s="218"/>
      <c r="I733" s="296"/>
      <c r="J733" s="296"/>
      <c r="K733" s="164">
        <f t="shared" si="167"/>
        <v>-6000</v>
      </c>
      <c r="L733" s="364"/>
      <c r="M733" s="105"/>
      <c r="N733" s="105"/>
      <c r="O733" s="119">
        <v>6000</v>
      </c>
      <c r="P733" s="67">
        <f t="shared" si="166"/>
        <v>6000</v>
      </c>
      <c r="Q733" s="9"/>
      <c r="R733" s="9"/>
      <c r="S733" s="12">
        <v>5200</v>
      </c>
      <c r="T733" s="44">
        <v>6500</v>
      </c>
      <c r="U733" s="44">
        <v>5765.04</v>
      </c>
    </row>
    <row r="734" spans="1:21" ht="14.45" customHeight="1" x14ac:dyDescent="0.25">
      <c r="A734" s="7" t="s">
        <v>125</v>
      </c>
      <c r="B734" s="148"/>
      <c r="C734" s="148"/>
      <c r="D734" s="164"/>
      <c r="E734" s="164"/>
      <c r="F734" s="254"/>
      <c r="G734" s="194">
        <f t="shared" si="169"/>
        <v>0</v>
      </c>
      <c r="H734" s="218"/>
      <c r="I734" s="296"/>
      <c r="J734" s="296"/>
      <c r="K734" s="164">
        <f t="shared" si="167"/>
        <v>-6000</v>
      </c>
      <c r="L734" s="364"/>
      <c r="M734" s="105"/>
      <c r="N734" s="105"/>
      <c r="O734" s="119">
        <v>6000</v>
      </c>
      <c r="P734" s="67">
        <f t="shared" si="166"/>
        <v>6000</v>
      </c>
      <c r="Q734" s="9"/>
      <c r="R734" s="9"/>
      <c r="S734" s="12">
        <v>6000</v>
      </c>
      <c r="T734" s="44">
        <v>1500</v>
      </c>
      <c r="U734" s="44">
        <v>6251.25</v>
      </c>
    </row>
    <row r="735" spans="1:21" ht="14.45" customHeight="1" x14ac:dyDescent="0.25">
      <c r="A735" s="7" t="s">
        <v>127</v>
      </c>
      <c r="B735" s="148"/>
      <c r="C735" s="148"/>
      <c r="D735" s="164"/>
      <c r="E735" s="164"/>
      <c r="F735" s="254"/>
      <c r="G735" s="194">
        <f t="shared" si="169"/>
        <v>0</v>
      </c>
      <c r="H735" s="218"/>
      <c r="I735" s="296"/>
      <c r="J735" s="296"/>
      <c r="K735" s="164">
        <f t="shared" si="167"/>
        <v>-5000</v>
      </c>
      <c r="L735" s="364"/>
      <c r="M735" s="105"/>
      <c r="N735" s="105"/>
      <c r="O735" s="119">
        <v>5000</v>
      </c>
      <c r="P735" s="67">
        <f t="shared" si="166"/>
        <v>5000</v>
      </c>
      <c r="Q735" s="9"/>
      <c r="R735" s="9"/>
      <c r="S735" s="12">
        <v>5000</v>
      </c>
      <c r="T735" s="44">
        <v>0</v>
      </c>
      <c r="U735" s="44">
        <v>4288.03</v>
      </c>
    </row>
    <row r="736" spans="1:21" ht="14.45" customHeight="1" x14ac:dyDescent="0.25">
      <c r="A736" s="7" t="s">
        <v>129</v>
      </c>
      <c r="B736" s="148"/>
      <c r="C736" s="148"/>
      <c r="D736" s="164"/>
      <c r="E736" s="164"/>
      <c r="F736" s="254"/>
      <c r="G736" s="194">
        <f t="shared" si="169"/>
        <v>0</v>
      </c>
      <c r="H736" s="218"/>
      <c r="I736" s="296"/>
      <c r="J736" s="296"/>
      <c r="K736" s="164">
        <f t="shared" si="167"/>
        <v>-10000</v>
      </c>
      <c r="L736" s="364"/>
      <c r="M736" s="105"/>
      <c r="N736" s="105"/>
      <c r="O736" s="119">
        <v>10000</v>
      </c>
      <c r="P736" s="67">
        <f t="shared" si="166"/>
        <v>10000</v>
      </c>
      <c r="Q736" s="9"/>
      <c r="R736" s="9"/>
      <c r="S736" s="12">
        <v>8000</v>
      </c>
      <c r="T736" s="44">
        <v>6000</v>
      </c>
      <c r="U736" s="44">
        <v>7539.93</v>
      </c>
    </row>
    <row r="737" spans="1:24" ht="14.45" customHeight="1" x14ac:dyDescent="0.25">
      <c r="A737" s="7" t="s">
        <v>130</v>
      </c>
      <c r="B737" s="148"/>
      <c r="C737" s="148"/>
      <c r="D737" s="164"/>
      <c r="E737" s="164"/>
      <c r="F737" s="254"/>
      <c r="G737" s="194">
        <f t="shared" si="169"/>
        <v>0</v>
      </c>
      <c r="H737" s="218"/>
      <c r="I737" s="296"/>
      <c r="J737" s="296"/>
      <c r="K737" s="164">
        <f t="shared" si="167"/>
        <v>-2700</v>
      </c>
      <c r="L737" s="364"/>
      <c r="M737" s="105"/>
      <c r="N737" s="105"/>
      <c r="O737" s="119">
        <v>2700</v>
      </c>
      <c r="P737" s="67">
        <f t="shared" si="166"/>
        <v>2700</v>
      </c>
      <c r="Q737" s="9"/>
      <c r="R737" s="9"/>
      <c r="S737" s="12">
        <v>2500</v>
      </c>
      <c r="T737" s="44">
        <v>0</v>
      </c>
      <c r="U737" s="44">
        <v>2936.31</v>
      </c>
    </row>
    <row r="738" spans="1:24" ht="14.45" customHeight="1" x14ac:dyDescent="0.25">
      <c r="A738" s="7" t="s">
        <v>131</v>
      </c>
      <c r="B738" s="148"/>
      <c r="C738" s="148"/>
      <c r="D738" s="164"/>
      <c r="E738" s="164"/>
      <c r="F738" s="164"/>
      <c r="G738" s="194">
        <f t="shared" si="169"/>
        <v>0</v>
      </c>
      <c r="H738" s="218"/>
      <c r="I738" s="296"/>
      <c r="J738" s="296"/>
      <c r="K738" s="164">
        <f t="shared" si="167"/>
        <v>-1200</v>
      </c>
      <c r="L738" s="364"/>
      <c r="M738" s="105"/>
      <c r="N738" s="105"/>
      <c r="O738" s="119">
        <v>1200</v>
      </c>
      <c r="P738" s="67">
        <f t="shared" si="166"/>
        <v>1200</v>
      </c>
      <c r="Q738" s="9"/>
      <c r="R738" s="9"/>
      <c r="S738" s="12">
        <v>1000</v>
      </c>
      <c r="T738" s="44">
        <v>0</v>
      </c>
      <c r="U738" s="44">
        <v>985.96</v>
      </c>
    </row>
    <row r="739" spans="1:24" ht="14.45" customHeight="1" x14ac:dyDescent="0.25">
      <c r="A739" s="648" t="s">
        <v>372</v>
      </c>
      <c r="B739" s="293"/>
      <c r="C739" s="293"/>
      <c r="D739" s="176">
        <f>SUM(D699:D738)</f>
        <v>0</v>
      </c>
      <c r="E739" s="176">
        <f t="shared" ref="E739:G739" si="170">SUM(E699:E738)</f>
        <v>0</v>
      </c>
      <c r="F739" s="647">
        <f t="shared" si="170"/>
        <v>33840</v>
      </c>
      <c r="G739" s="176">
        <f t="shared" si="170"/>
        <v>33840</v>
      </c>
      <c r="H739" s="224"/>
      <c r="I739" s="224"/>
      <c r="J739" s="224"/>
      <c r="K739" s="224">
        <f>SUM(K708:K738)</f>
        <v>-167560</v>
      </c>
      <c r="L739" s="365"/>
      <c r="M739" s="205">
        <f>SUM(M699:M738)</f>
        <v>0</v>
      </c>
      <c r="N739" s="205">
        <f t="shared" ref="N739:O739" si="171">SUM(N699:N738)</f>
        <v>126500</v>
      </c>
      <c r="O739" s="45">
        <f t="shared" si="171"/>
        <v>74900</v>
      </c>
      <c r="P739" s="45">
        <f>SUM(M739:O739)</f>
        <v>201400</v>
      </c>
      <c r="Q739" s="60">
        <f>P739/P49</f>
        <v>3.0493159478921263E-2</v>
      </c>
      <c r="R739" s="48">
        <f>P739-S739</f>
        <v>15095</v>
      </c>
      <c r="S739" s="32">
        <v>186305</v>
      </c>
      <c r="T739" s="49">
        <v>185338</v>
      </c>
      <c r="U739" s="49">
        <v>145709.18</v>
      </c>
    </row>
    <row r="740" spans="1:24" ht="15" customHeight="1" x14ac:dyDescent="0.25">
      <c r="A740" s="61"/>
      <c r="B740" s="69"/>
      <c r="C740" s="69"/>
      <c r="D740" s="178"/>
      <c r="E740" s="178"/>
      <c r="F740" s="178"/>
      <c r="G740" s="178"/>
      <c r="H740" s="212"/>
      <c r="I740" s="212"/>
      <c r="J740" s="212"/>
      <c r="K740" s="212"/>
      <c r="L740" s="328"/>
      <c r="M740" s="51"/>
      <c r="N740" s="51"/>
      <c r="O740" s="51"/>
      <c r="P740" s="61"/>
      <c r="Q740" s="61"/>
      <c r="R740" s="68"/>
      <c r="S740" s="69"/>
      <c r="T740" s="69"/>
      <c r="U740" s="69"/>
    </row>
    <row r="741" spans="1:24" ht="28.5" customHeight="1" x14ac:dyDescent="0.25">
      <c r="A741" s="52" t="s">
        <v>373</v>
      </c>
      <c r="B741" s="146"/>
      <c r="C741" s="146"/>
      <c r="D741" s="52"/>
      <c r="E741" s="52"/>
      <c r="F741" s="52"/>
      <c r="G741" s="52"/>
      <c r="H741" s="52"/>
      <c r="I741" s="52"/>
      <c r="J741" s="52"/>
      <c r="K741" s="52"/>
      <c r="L741" s="323"/>
      <c r="M741" s="305"/>
      <c r="N741" s="52"/>
      <c r="O741" s="52"/>
      <c r="P741" s="52"/>
      <c r="Q741" s="52"/>
      <c r="R741" s="52"/>
      <c r="S741" s="52"/>
      <c r="T741" s="52"/>
      <c r="U741" s="52"/>
      <c r="W741" s="390" t="s">
        <v>462</v>
      </c>
    </row>
    <row r="742" spans="1:24" ht="14.45" hidden="1" customHeight="1" x14ac:dyDescent="0.25">
      <c r="A742" s="148" t="s">
        <v>73</v>
      </c>
      <c r="B742" s="148"/>
      <c r="C742" s="148"/>
      <c r="D742" s="254"/>
      <c r="E742" s="254"/>
      <c r="F742" s="254"/>
      <c r="G742" s="290"/>
      <c r="H742" s="291"/>
      <c r="I742" s="291"/>
      <c r="J742" s="291"/>
      <c r="K742" s="291"/>
      <c r="L742" s="379"/>
      <c r="M742" s="105"/>
      <c r="N742" s="204"/>
      <c r="O742" s="120"/>
      <c r="P742" s="9"/>
      <c r="Q742" s="9"/>
      <c r="R742" s="9"/>
      <c r="S742" s="12"/>
      <c r="T742" s="44">
        <v>69480</v>
      </c>
      <c r="U742" s="251">
        <v>69477.98</v>
      </c>
      <c r="V742" s="252"/>
      <c r="X742" s="253"/>
    </row>
    <row r="743" spans="1:24" ht="14.45" hidden="1" customHeight="1" x14ac:dyDescent="0.25">
      <c r="A743" s="148" t="s">
        <v>374</v>
      </c>
      <c r="B743" s="148"/>
      <c r="C743" s="148"/>
      <c r="D743" s="254"/>
      <c r="E743" s="254"/>
      <c r="F743" s="254"/>
      <c r="G743" s="290"/>
      <c r="H743" s="291"/>
      <c r="I743" s="291"/>
      <c r="J743" s="291"/>
      <c r="K743" s="291"/>
      <c r="L743" s="379"/>
      <c r="M743" s="105"/>
      <c r="N743" s="105"/>
      <c r="O743" s="9"/>
      <c r="P743" s="9"/>
      <c r="Q743" s="9"/>
      <c r="R743" s="9"/>
      <c r="S743" s="12"/>
      <c r="T743" s="44">
        <v>6000</v>
      </c>
      <c r="U743" s="251">
        <v>9725.35</v>
      </c>
      <c r="V743" s="252"/>
      <c r="X743" s="253"/>
    </row>
    <row r="744" spans="1:24" ht="14.45" hidden="1" customHeight="1" x14ac:dyDescent="0.25">
      <c r="A744" s="148" t="s">
        <v>163</v>
      </c>
      <c r="B744" s="148"/>
      <c r="C744" s="148"/>
      <c r="D744" s="254"/>
      <c r="E744" s="254"/>
      <c r="F744" s="254"/>
      <c r="G744" s="290"/>
      <c r="H744" s="291"/>
      <c r="I744" s="291"/>
      <c r="J744" s="291"/>
      <c r="K744" s="291"/>
      <c r="L744" s="379"/>
      <c r="M744" s="105"/>
      <c r="N744" s="105"/>
      <c r="O744" s="9"/>
      <c r="P744" s="9"/>
      <c r="Q744" s="9"/>
      <c r="R744" s="9"/>
      <c r="S744" s="12"/>
      <c r="T744" s="44">
        <v>4430</v>
      </c>
      <c r="U744" s="251">
        <v>4430.3999999999996</v>
      </c>
      <c r="V744" s="252"/>
      <c r="X744" s="253"/>
    </row>
    <row r="745" spans="1:24" ht="14.45" hidden="1" customHeight="1" x14ac:dyDescent="0.25">
      <c r="A745" s="148" t="s">
        <v>57</v>
      </c>
      <c r="B745" s="148"/>
      <c r="C745" s="148"/>
      <c r="D745" s="254"/>
      <c r="E745" s="254"/>
      <c r="F745" s="254"/>
      <c r="G745" s="290"/>
      <c r="H745" s="291"/>
      <c r="I745" s="291"/>
      <c r="J745" s="291"/>
      <c r="K745" s="291"/>
      <c r="L745" s="379"/>
      <c r="M745" s="105"/>
      <c r="N745" s="105"/>
      <c r="O745" s="9"/>
      <c r="P745" s="9"/>
      <c r="Q745" s="9"/>
      <c r="R745" s="9"/>
      <c r="S745" s="12"/>
      <c r="T745" s="44">
        <v>310</v>
      </c>
      <c r="U745" s="251">
        <v>306</v>
      </c>
      <c r="V745" s="252"/>
      <c r="X745" s="253"/>
    </row>
    <row r="746" spans="1:24" ht="14.45" hidden="1" customHeight="1" x14ac:dyDescent="0.25">
      <c r="A746" s="148" t="s">
        <v>59</v>
      </c>
      <c r="B746" s="148"/>
      <c r="C746" s="148"/>
      <c r="D746" s="254"/>
      <c r="E746" s="254"/>
      <c r="F746" s="254"/>
      <c r="G746" s="290"/>
      <c r="H746" s="291"/>
      <c r="I746" s="291"/>
      <c r="J746" s="291"/>
      <c r="K746" s="291"/>
      <c r="L746" s="379"/>
      <c r="M746" s="105"/>
      <c r="N746" s="204"/>
      <c r="O746" s="9"/>
      <c r="P746" s="9"/>
      <c r="Q746" s="9"/>
      <c r="R746" s="9"/>
      <c r="S746" s="12"/>
      <c r="T746" s="44">
        <v>12280</v>
      </c>
      <c r="U746" s="251">
        <v>13303.44</v>
      </c>
      <c r="V746" s="252"/>
      <c r="X746" s="253"/>
    </row>
    <row r="747" spans="1:24" ht="14.45" hidden="1" customHeight="1" x14ac:dyDescent="0.25">
      <c r="A747" s="148" t="s">
        <v>60</v>
      </c>
      <c r="B747" s="148"/>
      <c r="C747" s="148"/>
      <c r="D747" s="254"/>
      <c r="E747" s="254"/>
      <c r="F747" s="254"/>
      <c r="G747" s="290"/>
      <c r="H747" s="291"/>
      <c r="I747" s="291"/>
      <c r="J747" s="291"/>
      <c r="K747" s="291"/>
      <c r="L747" s="379"/>
      <c r="M747" s="105"/>
      <c r="N747" s="105"/>
      <c r="O747" s="9"/>
      <c r="P747" s="9"/>
      <c r="Q747" s="9"/>
      <c r="R747" s="9"/>
      <c r="S747" s="12"/>
      <c r="T747" s="44">
        <v>0</v>
      </c>
      <c r="U747" s="251">
        <v>94.28</v>
      </c>
      <c r="V747" s="252"/>
      <c r="X747" s="253"/>
    </row>
    <row r="748" spans="1:24" ht="14.45" hidden="1" customHeight="1" x14ac:dyDescent="0.25">
      <c r="A748" s="148" t="s">
        <v>359</v>
      </c>
      <c r="B748" s="148"/>
      <c r="C748" s="148"/>
      <c r="D748" s="254"/>
      <c r="E748" s="254"/>
      <c r="F748" s="254"/>
      <c r="G748" s="290"/>
      <c r="H748" s="291"/>
      <c r="I748" s="291"/>
      <c r="J748" s="291"/>
      <c r="K748" s="291"/>
      <c r="L748" s="379"/>
      <c r="M748" s="105"/>
      <c r="N748" s="105"/>
      <c r="O748" s="9"/>
      <c r="P748" s="9"/>
      <c r="Q748" s="9"/>
      <c r="R748" s="9"/>
      <c r="S748" s="12"/>
      <c r="T748" s="44">
        <v>1000</v>
      </c>
      <c r="U748" s="251">
        <v>144</v>
      </c>
      <c r="V748" s="252"/>
      <c r="X748" s="253"/>
    </row>
    <row r="749" spans="1:24" ht="14.45" hidden="1" customHeight="1" x14ac:dyDescent="0.25">
      <c r="A749" s="148" t="s">
        <v>216</v>
      </c>
      <c r="B749" s="148"/>
      <c r="C749" s="148"/>
      <c r="D749" s="254"/>
      <c r="E749" s="254"/>
      <c r="F749" s="254"/>
      <c r="G749" s="290"/>
      <c r="H749" s="291"/>
      <c r="I749" s="291"/>
      <c r="J749" s="291"/>
      <c r="K749" s="291"/>
      <c r="L749" s="379"/>
      <c r="M749" s="105"/>
      <c r="N749" s="105"/>
      <c r="O749" s="9"/>
      <c r="P749" s="9"/>
      <c r="Q749" s="9"/>
      <c r="R749" s="9"/>
      <c r="S749" s="12"/>
      <c r="T749" s="44"/>
      <c r="U749" s="251"/>
      <c r="V749" s="252"/>
      <c r="X749" s="253"/>
    </row>
    <row r="750" spans="1:24" ht="14.45" hidden="1" customHeight="1" x14ac:dyDescent="0.25">
      <c r="A750" s="148" t="s">
        <v>375</v>
      </c>
      <c r="B750" s="148"/>
      <c r="C750" s="148"/>
      <c r="D750" s="254"/>
      <c r="E750" s="254"/>
      <c r="F750" s="254"/>
      <c r="G750" s="290"/>
      <c r="H750" s="291"/>
      <c r="I750" s="291"/>
      <c r="J750" s="291"/>
      <c r="K750" s="291"/>
      <c r="L750" s="379"/>
      <c r="M750" s="105"/>
      <c r="N750" s="105"/>
      <c r="O750" s="9"/>
      <c r="P750" s="9"/>
      <c r="Q750" s="9"/>
      <c r="R750" s="9"/>
      <c r="S750" s="12"/>
      <c r="T750" s="44">
        <v>500</v>
      </c>
      <c r="U750" s="251">
        <v>176.77</v>
      </c>
      <c r="V750" s="252"/>
      <c r="X750" s="253"/>
    </row>
    <row r="751" spans="1:24" ht="14.45" hidden="1" customHeight="1" x14ac:dyDescent="0.25">
      <c r="A751" s="144" t="s">
        <v>97</v>
      </c>
      <c r="B751" s="148"/>
      <c r="C751" s="554"/>
      <c r="D751" s="280"/>
      <c r="E751" s="280"/>
      <c r="F751" s="280"/>
      <c r="G751" s="280"/>
      <c r="H751" s="291"/>
      <c r="I751" s="291"/>
      <c r="J751" s="291"/>
      <c r="K751" s="291"/>
      <c r="L751" s="379"/>
      <c r="M751" s="105"/>
      <c r="N751" s="105">
        <v>62680</v>
      </c>
      <c r="O751" s="120">
        <v>24075</v>
      </c>
      <c r="P751" s="67">
        <f t="shared" ref="P751:P764" si="172">M751+N751+O751</f>
        <v>86755</v>
      </c>
      <c r="Q751" s="9"/>
      <c r="R751" s="9"/>
      <c r="S751" s="12">
        <v>92225</v>
      </c>
      <c r="T751" s="44"/>
      <c r="U751" s="44"/>
    </row>
    <row r="752" spans="1:24" ht="14.45" hidden="1" customHeight="1" x14ac:dyDescent="0.25">
      <c r="A752" s="7" t="s">
        <v>245</v>
      </c>
      <c r="B752" s="148"/>
      <c r="C752" s="148"/>
      <c r="D752" s="164"/>
      <c r="E752" s="164"/>
      <c r="F752" s="164"/>
      <c r="G752" s="197"/>
      <c r="H752" s="218"/>
      <c r="I752" s="218"/>
      <c r="J752" s="218"/>
      <c r="K752" s="218"/>
      <c r="L752" s="364"/>
      <c r="M752" s="105"/>
      <c r="N752" s="105">
        <v>600</v>
      </c>
      <c r="O752" s="9"/>
      <c r="P752" s="67">
        <f t="shared" si="172"/>
        <v>600</v>
      </c>
      <c r="Q752" s="9"/>
      <c r="R752" s="9"/>
      <c r="S752" s="12"/>
      <c r="T752" s="44">
        <v>100</v>
      </c>
      <c r="U752" s="44">
        <v>488.21</v>
      </c>
      <c r="V752" s="250"/>
    </row>
    <row r="753" spans="1:21" ht="14.45" hidden="1" customHeight="1" x14ac:dyDescent="0.25">
      <c r="A753" s="7" t="s">
        <v>376</v>
      </c>
      <c r="B753" s="148"/>
      <c r="C753" s="148"/>
      <c r="D753" s="164"/>
      <c r="E753" s="164"/>
      <c r="F753" s="164"/>
      <c r="G753" s="197"/>
      <c r="H753" s="218"/>
      <c r="I753" s="218"/>
      <c r="J753" s="218"/>
      <c r="K753" s="218"/>
      <c r="L753" s="364"/>
      <c r="M753" s="105"/>
      <c r="N753" s="105">
        <v>600</v>
      </c>
      <c r="O753" s="9"/>
      <c r="P753" s="67">
        <f t="shared" si="172"/>
        <v>600</v>
      </c>
      <c r="Q753" s="9"/>
      <c r="R753" s="9"/>
      <c r="S753" s="12">
        <v>342</v>
      </c>
      <c r="T753" s="44">
        <v>100</v>
      </c>
      <c r="U753" s="44">
        <v>313.2</v>
      </c>
    </row>
    <row r="754" spans="1:21" ht="14.45" hidden="1" customHeight="1" x14ac:dyDescent="0.25">
      <c r="A754" s="7" t="s">
        <v>106</v>
      </c>
      <c r="B754" s="148"/>
      <c r="C754" s="148"/>
      <c r="D754" s="164"/>
      <c r="E754" s="164"/>
      <c r="F754" s="164"/>
      <c r="G754" s="194"/>
      <c r="H754" s="218"/>
      <c r="I754" s="218"/>
      <c r="J754" s="218"/>
      <c r="K754" s="218"/>
      <c r="L754" s="364"/>
      <c r="M754" s="105"/>
      <c r="N754" s="105"/>
      <c r="O754" s="9"/>
      <c r="P754" s="67">
        <f t="shared" si="172"/>
        <v>0</v>
      </c>
      <c r="Q754" s="9"/>
      <c r="R754" s="9"/>
      <c r="S754" s="12">
        <v>0</v>
      </c>
      <c r="T754" s="44">
        <v>0</v>
      </c>
      <c r="U754" s="44">
        <v>1402.49</v>
      </c>
    </row>
    <row r="755" spans="1:21" ht="14.45" hidden="1" customHeight="1" x14ac:dyDescent="0.25">
      <c r="A755" s="7" t="s">
        <v>377</v>
      </c>
      <c r="B755" s="148"/>
      <c r="C755" s="148"/>
      <c r="D755" s="164"/>
      <c r="E755" s="164"/>
      <c r="F755" s="164"/>
      <c r="G755" s="197"/>
      <c r="H755" s="218"/>
      <c r="I755" s="218"/>
      <c r="J755" s="218"/>
      <c r="K755" s="218"/>
      <c r="L755" s="364"/>
      <c r="M755" s="105"/>
      <c r="N755" s="204">
        <v>2000</v>
      </c>
      <c r="O755" s="9"/>
      <c r="P755" s="67">
        <f t="shared" si="172"/>
        <v>2000</v>
      </c>
      <c r="Q755" s="9"/>
      <c r="R755" s="9"/>
      <c r="S755" s="12">
        <v>20797</v>
      </c>
      <c r="T755" s="44">
        <v>0</v>
      </c>
      <c r="U755" s="44">
        <v>0</v>
      </c>
    </row>
    <row r="756" spans="1:21" ht="14.45" hidden="1" customHeight="1" x14ac:dyDescent="0.25">
      <c r="A756" s="7" t="s">
        <v>265</v>
      </c>
      <c r="B756" s="148"/>
      <c r="C756" s="148"/>
      <c r="D756" s="164"/>
      <c r="E756" s="164"/>
      <c r="F756" s="164"/>
      <c r="G756" s="197"/>
      <c r="H756" s="218"/>
      <c r="I756" s="218"/>
      <c r="J756" s="218"/>
      <c r="K756" s="218"/>
      <c r="L756" s="364"/>
      <c r="M756" s="105"/>
      <c r="N756" s="105">
        <v>2000</v>
      </c>
      <c r="O756" s="9"/>
      <c r="P756" s="67">
        <f t="shared" si="172"/>
        <v>2000</v>
      </c>
      <c r="Q756" s="9"/>
      <c r="R756" s="9"/>
      <c r="S756" s="12"/>
      <c r="T756" s="44">
        <v>0</v>
      </c>
      <c r="U756" s="44">
        <v>2403.5700000000002</v>
      </c>
    </row>
    <row r="757" spans="1:21" ht="14.45" hidden="1" customHeight="1" x14ac:dyDescent="0.25">
      <c r="A757" s="7" t="s">
        <v>378</v>
      </c>
      <c r="B757" s="148"/>
      <c r="C757" s="148"/>
      <c r="D757" s="164"/>
      <c r="E757" s="164"/>
      <c r="F757" s="164"/>
      <c r="G757" s="197"/>
      <c r="H757" s="218"/>
      <c r="I757" s="218"/>
      <c r="J757" s="218"/>
      <c r="K757" s="218"/>
      <c r="L757" s="364"/>
      <c r="M757" s="105"/>
      <c r="N757" s="204">
        <v>2000</v>
      </c>
      <c r="O757" s="9"/>
      <c r="P757" s="67">
        <f t="shared" si="172"/>
        <v>2000</v>
      </c>
      <c r="Q757" s="9"/>
      <c r="R757" s="9"/>
      <c r="S757" s="12">
        <v>3500</v>
      </c>
      <c r="T757" s="44">
        <v>300</v>
      </c>
      <c r="U757" s="44">
        <v>654.72</v>
      </c>
    </row>
    <row r="758" spans="1:21" ht="14.45" hidden="1" customHeight="1" x14ac:dyDescent="0.25">
      <c r="A758" s="7" t="s">
        <v>368</v>
      </c>
      <c r="B758" s="148"/>
      <c r="C758" s="148"/>
      <c r="D758" s="164"/>
      <c r="E758" s="164"/>
      <c r="F758" s="164"/>
      <c r="G758" s="197"/>
      <c r="H758" s="218"/>
      <c r="I758" s="218"/>
      <c r="J758" s="218"/>
      <c r="K758" s="218"/>
      <c r="L758" s="364"/>
      <c r="M758" s="105"/>
      <c r="N758" s="204">
        <v>7000</v>
      </c>
      <c r="O758" s="9"/>
      <c r="P758" s="67">
        <f t="shared" si="172"/>
        <v>7000</v>
      </c>
      <c r="Q758" s="9"/>
      <c r="R758" s="9"/>
      <c r="S758" s="12">
        <v>13000</v>
      </c>
      <c r="T758" s="44">
        <v>5500</v>
      </c>
      <c r="U758" s="44">
        <v>5760.19</v>
      </c>
    </row>
    <row r="759" spans="1:21" ht="14.45" hidden="1" customHeight="1" x14ac:dyDescent="0.25">
      <c r="A759" s="7" t="s">
        <v>379</v>
      </c>
      <c r="B759" s="148"/>
      <c r="C759" s="148"/>
      <c r="D759" s="164"/>
      <c r="E759" s="164"/>
      <c r="F759" s="164"/>
      <c r="G759" s="197"/>
      <c r="H759" s="218"/>
      <c r="I759" s="218"/>
      <c r="J759" s="218"/>
      <c r="K759" s="218"/>
      <c r="L759" s="364"/>
      <c r="M759" s="105"/>
      <c r="N759" s="204">
        <v>1000</v>
      </c>
      <c r="O759" s="9"/>
      <c r="P759" s="67">
        <f t="shared" si="172"/>
        <v>1000</v>
      </c>
      <c r="Q759" s="9"/>
      <c r="R759" s="9"/>
      <c r="S759" s="12">
        <v>4005</v>
      </c>
      <c r="T759" s="44">
        <v>500</v>
      </c>
      <c r="U759" s="44">
        <v>429.26</v>
      </c>
    </row>
    <row r="760" spans="1:21" ht="14.45" hidden="1" customHeight="1" x14ac:dyDescent="0.25">
      <c r="A760" s="7" t="s">
        <v>69</v>
      </c>
      <c r="B760" s="148"/>
      <c r="C760" s="148"/>
      <c r="D760" s="164"/>
      <c r="E760" s="164"/>
      <c r="F760" s="164"/>
      <c r="G760" s="194"/>
      <c r="H760" s="218"/>
      <c r="I760" s="218"/>
      <c r="J760" s="218"/>
      <c r="K760" s="218"/>
      <c r="L760" s="364"/>
      <c r="M760" s="105"/>
      <c r="N760" s="105"/>
      <c r="O760" s="9"/>
      <c r="P760" s="67">
        <f t="shared" si="172"/>
        <v>0</v>
      </c>
      <c r="Q760" s="9"/>
      <c r="R760" s="9"/>
      <c r="S760" s="12">
        <v>0</v>
      </c>
      <c r="T760" s="44">
        <v>500</v>
      </c>
      <c r="U760" s="44">
        <v>888.49</v>
      </c>
    </row>
    <row r="761" spans="1:21" ht="14.45" hidden="1" customHeight="1" x14ac:dyDescent="0.25">
      <c r="A761" s="7" t="s">
        <v>79</v>
      </c>
      <c r="B761" s="148"/>
      <c r="C761" s="148"/>
      <c r="D761" s="164"/>
      <c r="E761" s="164"/>
      <c r="F761" s="164"/>
      <c r="G761" s="194"/>
      <c r="H761" s="218"/>
      <c r="I761" s="218"/>
      <c r="J761" s="218"/>
      <c r="K761" s="218"/>
      <c r="L761" s="364"/>
      <c r="M761" s="105"/>
      <c r="N761" s="105"/>
      <c r="O761" s="9"/>
      <c r="P761" s="67">
        <f t="shared" si="172"/>
        <v>0</v>
      </c>
      <c r="Q761" s="9"/>
      <c r="R761" s="9"/>
      <c r="S761" s="12">
        <v>0</v>
      </c>
      <c r="T761" s="44">
        <v>0</v>
      </c>
      <c r="U761" s="44">
        <v>23.2</v>
      </c>
    </row>
    <row r="762" spans="1:21" ht="14.45" hidden="1" customHeight="1" x14ac:dyDescent="0.25">
      <c r="A762" s="7" t="s">
        <v>102</v>
      </c>
      <c r="B762" s="148"/>
      <c r="C762" s="148"/>
      <c r="D762" s="164"/>
      <c r="E762" s="164"/>
      <c r="F762" s="164"/>
      <c r="G762" s="194"/>
      <c r="H762" s="218"/>
      <c r="I762" s="218"/>
      <c r="J762" s="218"/>
      <c r="K762" s="218"/>
      <c r="L762" s="364"/>
      <c r="M762" s="105"/>
      <c r="N762" s="105"/>
      <c r="O762" s="9"/>
      <c r="P762" s="67">
        <f t="shared" si="172"/>
        <v>0</v>
      </c>
      <c r="Q762" s="9"/>
      <c r="R762" s="9"/>
      <c r="S762" s="12">
        <v>0</v>
      </c>
      <c r="T762" s="44">
        <v>0</v>
      </c>
      <c r="U762" s="44">
        <v>285.70999999999998</v>
      </c>
    </row>
    <row r="763" spans="1:21" ht="14.45" hidden="1" customHeight="1" x14ac:dyDescent="0.25">
      <c r="A763" s="7" t="s">
        <v>337</v>
      </c>
      <c r="B763" s="148"/>
      <c r="C763" s="148"/>
      <c r="D763" s="164"/>
      <c r="E763" s="164"/>
      <c r="F763" s="164"/>
      <c r="G763" s="197"/>
      <c r="H763" s="218"/>
      <c r="I763" s="218"/>
      <c r="J763" s="218"/>
      <c r="K763" s="218"/>
      <c r="L763" s="364"/>
      <c r="M763" s="105"/>
      <c r="N763" s="204">
        <v>12480</v>
      </c>
      <c r="O763" s="9"/>
      <c r="P763" s="67">
        <f t="shared" si="172"/>
        <v>12480</v>
      </c>
      <c r="Q763" s="9"/>
      <c r="R763" s="9"/>
      <c r="S763" s="12">
        <v>9360</v>
      </c>
      <c r="T763" s="44">
        <v>6000</v>
      </c>
      <c r="U763" s="44">
        <v>3240</v>
      </c>
    </row>
    <row r="764" spans="1:21" ht="14.45" hidden="1" customHeight="1" x14ac:dyDescent="0.25">
      <c r="A764" s="7" t="s">
        <v>279</v>
      </c>
      <c r="B764" s="148"/>
      <c r="C764" s="148"/>
      <c r="D764" s="164"/>
      <c r="E764" s="164"/>
      <c r="F764" s="164"/>
      <c r="G764" s="197"/>
      <c r="H764" s="218"/>
      <c r="I764" s="218"/>
      <c r="J764" s="218"/>
      <c r="K764" s="218"/>
      <c r="L764" s="364"/>
      <c r="M764" s="105"/>
      <c r="N764" s="105">
        <v>1000</v>
      </c>
      <c r="O764" s="9"/>
      <c r="P764" s="67">
        <f t="shared" si="172"/>
        <v>1000</v>
      </c>
      <c r="Q764" s="9"/>
      <c r="R764" s="9"/>
      <c r="S764" s="12"/>
      <c r="T764" s="44">
        <v>3000</v>
      </c>
      <c r="U764" s="44">
        <v>5370.28</v>
      </c>
    </row>
    <row r="765" spans="1:21" ht="14.45" customHeight="1" x14ac:dyDescent="0.25">
      <c r="A765" s="142" t="s">
        <v>380</v>
      </c>
      <c r="B765" s="293"/>
      <c r="C765" s="293"/>
      <c r="D765" s="45">
        <f>SUM(D742:D764)</f>
        <v>0</v>
      </c>
      <c r="E765" s="45">
        <f>SUM(E751:E764)</f>
        <v>0</v>
      </c>
      <c r="F765" s="45">
        <f>SUM(F751:F764)</f>
        <v>0</v>
      </c>
      <c r="G765" s="45">
        <f>SUM(G751:G764)</f>
        <v>0</v>
      </c>
      <c r="H765" s="224"/>
      <c r="I765" s="224"/>
      <c r="J765" s="224"/>
      <c r="K765" s="370">
        <f>+G765-P765</f>
        <v>-115435</v>
      </c>
      <c r="L765" s="365"/>
      <c r="M765" s="205">
        <f>SUM(M742:M764)</f>
        <v>0</v>
      </c>
      <c r="N765" s="205">
        <f t="shared" ref="N765:O765" si="173">SUM(N742:N764)</f>
        <v>91360</v>
      </c>
      <c r="O765" s="45">
        <f t="shared" si="173"/>
        <v>24075</v>
      </c>
      <c r="P765" s="45">
        <f>SUM(M765:O765)</f>
        <v>115435</v>
      </c>
      <c r="Q765" s="60">
        <f>P765/P49</f>
        <v>1.7477546496768998E-2</v>
      </c>
      <c r="R765" s="48">
        <f>P765-S765</f>
        <v>-27794</v>
      </c>
      <c r="S765" s="32">
        <v>143229</v>
      </c>
      <c r="T765" s="49">
        <v>110000</v>
      </c>
      <c r="U765" s="49">
        <v>118917.54</v>
      </c>
    </row>
    <row r="766" spans="1:21" ht="15" customHeight="1" x14ac:dyDescent="0.25">
      <c r="A766" s="61"/>
      <c r="B766" s="69"/>
      <c r="C766" s="69"/>
      <c r="D766" s="178"/>
      <c r="E766" s="178"/>
      <c r="F766" s="178"/>
      <c r="G766" s="178"/>
      <c r="H766" s="212"/>
      <c r="I766" s="212"/>
      <c r="J766" s="212"/>
      <c r="K766" s="212"/>
      <c r="L766" s="328"/>
      <c r="M766" s="51"/>
      <c r="N766" s="51"/>
      <c r="O766" s="51"/>
      <c r="P766" s="61"/>
      <c r="Q766" s="61"/>
      <c r="R766" s="68"/>
      <c r="S766" s="69"/>
      <c r="T766" s="69"/>
      <c r="U766" s="69"/>
    </row>
    <row r="767" spans="1:21" ht="30" customHeight="1" x14ac:dyDescent="0.25">
      <c r="A767" s="52" t="s">
        <v>381</v>
      </c>
      <c r="B767" s="146"/>
      <c r="C767" s="146"/>
      <c r="D767" s="52"/>
      <c r="E767" s="52"/>
      <c r="F767" s="52"/>
      <c r="G767" s="52"/>
      <c r="H767" s="52"/>
      <c r="I767" s="52"/>
      <c r="J767" s="52"/>
      <c r="K767" s="52"/>
      <c r="L767" s="323"/>
      <c r="M767" s="305"/>
      <c r="N767" s="52"/>
      <c r="O767" s="52"/>
      <c r="P767" s="52"/>
      <c r="Q767" s="52"/>
      <c r="R767" s="52"/>
      <c r="S767" s="52"/>
      <c r="T767" s="52"/>
      <c r="U767" s="52"/>
    </row>
    <row r="768" spans="1:21" ht="14.45" customHeight="1" x14ac:dyDescent="0.25">
      <c r="A768" s="7" t="s">
        <v>382</v>
      </c>
      <c r="B768" s="148"/>
      <c r="C768" s="148"/>
      <c r="D768" s="164">
        <v>8000</v>
      </c>
      <c r="E768" s="164"/>
      <c r="F768" s="164"/>
      <c r="G768" s="197">
        <f t="shared" ref="G768:G779" si="174">+F768+E768+D768</f>
        <v>8000</v>
      </c>
      <c r="H768" s="218"/>
      <c r="I768" s="296"/>
      <c r="J768" s="296"/>
      <c r="K768" s="164">
        <f t="shared" ref="K768:K781" si="175">+G768-P768</f>
        <v>2000</v>
      </c>
      <c r="L768" s="364"/>
      <c r="M768" s="105">
        <v>6000</v>
      </c>
      <c r="N768" s="105"/>
      <c r="O768" s="9"/>
      <c r="P768" s="67">
        <f>M768+N768+O768</f>
        <v>6000</v>
      </c>
      <c r="Q768" s="9"/>
      <c r="R768" s="9"/>
      <c r="S768" s="12">
        <v>5000</v>
      </c>
      <c r="T768" s="44">
        <v>12500</v>
      </c>
      <c r="U768" s="44">
        <v>4325</v>
      </c>
    </row>
    <row r="769" spans="1:21" ht="14.45" customHeight="1" x14ac:dyDescent="0.25">
      <c r="A769" s="7" t="s">
        <v>383</v>
      </c>
      <c r="B769" s="148"/>
      <c r="C769" s="148"/>
      <c r="D769" s="164"/>
      <c r="E769" s="164"/>
      <c r="F769" s="164"/>
      <c r="G769" s="197">
        <f t="shared" si="174"/>
        <v>0</v>
      </c>
      <c r="H769" s="218"/>
      <c r="I769" s="296"/>
      <c r="J769" s="296"/>
      <c r="K769" s="164">
        <f t="shared" si="175"/>
        <v>-2000</v>
      </c>
      <c r="L769" s="364"/>
      <c r="M769" s="105"/>
      <c r="N769" s="204">
        <v>2000</v>
      </c>
      <c r="O769" s="9"/>
      <c r="P769" s="67">
        <f t="shared" ref="P769:P781" si="176">M769+N769+O769</f>
        <v>2000</v>
      </c>
      <c r="Q769" s="9"/>
      <c r="R769" s="9"/>
      <c r="S769" s="12">
        <v>5000</v>
      </c>
      <c r="T769" s="44">
        <v>2000</v>
      </c>
      <c r="U769" s="44">
        <v>0</v>
      </c>
    </row>
    <row r="770" spans="1:21" ht="15" customHeight="1" x14ac:dyDescent="0.25">
      <c r="A770" s="141" t="s">
        <v>384</v>
      </c>
      <c r="B770" s="153"/>
      <c r="C770" s="153"/>
      <c r="D770" s="428">
        <v>1500</v>
      </c>
      <c r="E770" s="183"/>
      <c r="F770" s="183"/>
      <c r="G770" s="197">
        <f t="shared" si="174"/>
        <v>1500</v>
      </c>
      <c r="H770" s="227"/>
      <c r="I770" s="444"/>
      <c r="J770" s="444"/>
      <c r="K770" s="164">
        <f t="shared" si="175"/>
        <v>0</v>
      </c>
      <c r="L770" s="369"/>
      <c r="M770" s="204">
        <v>1500</v>
      </c>
      <c r="N770" s="105"/>
      <c r="O770" s="9"/>
      <c r="P770" s="67">
        <f t="shared" si="176"/>
        <v>1500</v>
      </c>
      <c r="Q770" s="9"/>
      <c r="R770" s="9"/>
      <c r="S770" s="12">
        <v>1250</v>
      </c>
      <c r="T770" s="44">
        <v>1250</v>
      </c>
      <c r="U770" s="44">
        <v>0</v>
      </c>
    </row>
    <row r="771" spans="1:21" ht="14.45" customHeight="1" x14ac:dyDescent="0.25">
      <c r="A771" s="7" t="s">
        <v>90</v>
      </c>
      <c r="B771" s="148"/>
      <c r="C771" s="148"/>
      <c r="D771" s="164">
        <v>1250</v>
      </c>
      <c r="E771" s="164"/>
      <c r="F771" s="164"/>
      <c r="G771" s="197">
        <f t="shared" si="174"/>
        <v>1250</v>
      </c>
      <c r="H771" s="218"/>
      <c r="I771" s="296"/>
      <c r="J771" s="296"/>
      <c r="K771" s="164">
        <f t="shared" si="175"/>
        <v>0</v>
      </c>
      <c r="L771" s="364"/>
      <c r="M771" s="204">
        <v>1250</v>
      </c>
      <c r="N771" s="105"/>
      <c r="O771" s="9"/>
      <c r="P771" s="67">
        <f t="shared" si="176"/>
        <v>1250</v>
      </c>
      <c r="Q771" s="9"/>
      <c r="R771" s="9"/>
      <c r="S771" s="12">
        <v>3000</v>
      </c>
      <c r="T771" s="44">
        <v>3000</v>
      </c>
      <c r="U771" s="44">
        <v>1206.5</v>
      </c>
    </row>
    <row r="772" spans="1:21" ht="14.45" customHeight="1" x14ac:dyDescent="0.25">
      <c r="A772" s="7" t="s">
        <v>385</v>
      </c>
      <c r="B772" s="148"/>
      <c r="C772" s="148"/>
      <c r="D772" s="164"/>
      <c r="E772" s="164"/>
      <c r="F772" s="164"/>
      <c r="G772" s="197">
        <f t="shared" si="174"/>
        <v>0</v>
      </c>
      <c r="H772" s="218"/>
      <c r="I772" s="296"/>
      <c r="J772" s="296"/>
      <c r="K772" s="164">
        <f t="shared" si="175"/>
        <v>0</v>
      </c>
      <c r="L772" s="364"/>
      <c r="M772" s="105"/>
      <c r="N772" s="204"/>
      <c r="O772" s="9"/>
      <c r="P772" s="9">
        <f t="shared" si="176"/>
        <v>0</v>
      </c>
      <c r="Q772" s="9"/>
      <c r="R772" s="9"/>
      <c r="S772" s="12">
        <v>2000</v>
      </c>
      <c r="T772" s="44">
        <v>2000</v>
      </c>
      <c r="U772" s="44">
        <v>2000</v>
      </c>
    </row>
    <row r="773" spans="1:21" ht="14.45" customHeight="1" x14ac:dyDescent="0.25">
      <c r="A773" s="7" t="s">
        <v>442</v>
      </c>
      <c r="B773" s="148"/>
      <c r="C773" s="148"/>
      <c r="D773" s="164">
        <v>4000</v>
      </c>
      <c r="E773" s="164"/>
      <c r="F773" s="164"/>
      <c r="G773" s="197">
        <f t="shared" si="174"/>
        <v>4000</v>
      </c>
      <c r="H773" s="218"/>
      <c r="I773" s="296"/>
      <c r="J773" s="296"/>
      <c r="K773" s="164">
        <f t="shared" si="175"/>
        <v>4000</v>
      </c>
      <c r="L773" s="364"/>
      <c r="M773" s="105"/>
      <c r="N773" s="204"/>
      <c r="O773" s="9"/>
      <c r="P773" s="9"/>
      <c r="Q773" s="9"/>
      <c r="R773" s="9"/>
      <c r="S773" s="12"/>
      <c r="T773" s="44"/>
      <c r="U773" s="44"/>
    </row>
    <row r="774" spans="1:21" ht="14.45" customHeight="1" x14ac:dyDescent="0.25">
      <c r="A774" s="7" t="s">
        <v>144</v>
      </c>
      <c r="B774" s="148"/>
      <c r="C774" s="148"/>
      <c r="D774" s="164"/>
      <c r="E774" s="164"/>
      <c r="F774" s="164"/>
      <c r="G774" s="197">
        <f t="shared" si="174"/>
        <v>0</v>
      </c>
      <c r="H774" s="218"/>
      <c r="I774" s="296"/>
      <c r="J774" s="296"/>
      <c r="K774" s="164">
        <f t="shared" si="175"/>
        <v>0</v>
      </c>
      <c r="L774" s="364"/>
      <c r="M774" s="105"/>
      <c r="N774" s="105"/>
      <c r="O774" s="9"/>
      <c r="P774" s="9">
        <f t="shared" si="176"/>
        <v>0</v>
      </c>
      <c r="Q774" s="9"/>
      <c r="R774" s="9"/>
      <c r="S774" s="12">
        <v>0</v>
      </c>
      <c r="T774" s="44">
        <v>0</v>
      </c>
      <c r="U774" s="44">
        <v>1358</v>
      </c>
    </row>
    <row r="775" spans="1:21" ht="14.45" customHeight="1" x14ac:dyDescent="0.25">
      <c r="A775" s="144" t="s">
        <v>386</v>
      </c>
      <c r="B775" s="148"/>
      <c r="C775" s="554"/>
      <c r="D775" s="280">
        <v>1000</v>
      </c>
      <c r="E775" s="280"/>
      <c r="F775" s="280"/>
      <c r="G775" s="290">
        <f t="shared" si="174"/>
        <v>1000</v>
      </c>
      <c r="H775" s="291"/>
      <c r="I775" s="423"/>
      <c r="J775" s="423"/>
      <c r="K775" s="164">
        <f t="shared" si="175"/>
        <v>1000</v>
      </c>
      <c r="L775" s="379"/>
      <c r="M775" s="204"/>
      <c r="N775" s="204">
        <v>0</v>
      </c>
      <c r="O775" s="67"/>
      <c r="P775" s="67">
        <f t="shared" si="176"/>
        <v>0</v>
      </c>
      <c r="Q775" s="67"/>
      <c r="R775" s="67"/>
      <c r="S775" s="12"/>
      <c r="T775" s="44"/>
      <c r="U775" s="90"/>
    </row>
    <row r="776" spans="1:21" ht="14.45" customHeight="1" x14ac:dyDescent="0.25">
      <c r="A776" s="7" t="s">
        <v>387</v>
      </c>
      <c r="B776" s="148"/>
      <c r="C776" s="148"/>
      <c r="D776" s="164"/>
      <c r="E776" s="164"/>
      <c r="F776" s="164"/>
      <c r="G776" s="197">
        <f t="shared" si="174"/>
        <v>0</v>
      </c>
      <c r="H776" s="218"/>
      <c r="I776" s="296"/>
      <c r="J776" s="296"/>
      <c r="K776" s="164">
        <f t="shared" si="175"/>
        <v>0</v>
      </c>
      <c r="L776" s="364"/>
      <c r="M776" s="105"/>
      <c r="N776" s="105"/>
      <c r="O776" s="9"/>
      <c r="P776" s="9">
        <f t="shared" si="176"/>
        <v>0</v>
      </c>
      <c r="Q776" s="9"/>
      <c r="R776" s="9"/>
      <c r="S776" s="12">
        <v>3000</v>
      </c>
      <c r="T776" s="44">
        <v>0</v>
      </c>
      <c r="U776" s="44">
        <v>0</v>
      </c>
    </row>
    <row r="777" spans="1:21" ht="14.45" customHeight="1" x14ac:dyDescent="0.25">
      <c r="A777" s="7" t="s">
        <v>388</v>
      </c>
      <c r="B777" s="148"/>
      <c r="C777" s="148"/>
      <c r="D777" s="164"/>
      <c r="E777" s="164"/>
      <c r="F777" s="164"/>
      <c r="G777" s="197">
        <f t="shared" si="174"/>
        <v>0</v>
      </c>
      <c r="H777" s="218"/>
      <c r="I777" s="296"/>
      <c r="J777" s="296"/>
      <c r="K777" s="164">
        <f t="shared" si="175"/>
        <v>0</v>
      </c>
      <c r="L777" s="364"/>
      <c r="M777" s="105"/>
      <c r="N777" s="105"/>
      <c r="O777" s="9"/>
      <c r="P777" s="9">
        <f t="shared" si="176"/>
        <v>0</v>
      </c>
      <c r="Q777" s="9"/>
      <c r="R777" s="9"/>
      <c r="S777" s="12">
        <v>0</v>
      </c>
      <c r="T777" s="44">
        <v>1000</v>
      </c>
      <c r="U777" s="44">
        <v>0</v>
      </c>
    </row>
    <row r="778" spans="1:21" ht="14.45" customHeight="1" x14ac:dyDescent="0.25">
      <c r="A778" s="7" t="s">
        <v>389</v>
      </c>
      <c r="B778" s="148"/>
      <c r="C778" s="148"/>
      <c r="D778" s="164"/>
      <c r="E778" s="164"/>
      <c r="F778" s="164"/>
      <c r="G778" s="197">
        <f t="shared" si="174"/>
        <v>0</v>
      </c>
      <c r="H778" s="218"/>
      <c r="I778" s="296"/>
      <c r="J778" s="296"/>
      <c r="K778" s="164">
        <f t="shared" si="175"/>
        <v>0</v>
      </c>
      <c r="L778" s="364"/>
      <c r="M778" s="105"/>
      <c r="N778" s="105"/>
      <c r="O778" s="9"/>
      <c r="P778" s="9">
        <f t="shared" si="176"/>
        <v>0</v>
      </c>
      <c r="Q778" s="9"/>
      <c r="R778" s="9"/>
      <c r="S778" s="12">
        <v>0</v>
      </c>
      <c r="T778" s="44">
        <v>2000</v>
      </c>
      <c r="U778" s="44">
        <v>0</v>
      </c>
    </row>
    <row r="779" spans="1:21" ht="14.45" customHeight="1" x14ac:dyDescent="0.25">
      <c r="A779" s="7" t="s">
        <v>174</v>
      </c>
      <c r="B779" s="148"/>
      <c r="C779" s="148"/>
      <c r="D779" s="164">
        <v>1600</v>
      </c>
      <c r="E779" s="164"/>
      <c r="F779" s="164"/>
      <c r="G779" s="197">
        <f t="shared" si="174"/>
        <v>1600</v>
      </c>
      <c r="H779" s="218"/>
      <c r="I779" s="296"/>
      <c r="J779" s="296"/>
      <c r="K779" s="164">
        <f t="shared" si="175"/>
        <v>0</v>
      </c>
      <c r="L779" s="364"/>
      <c r="M779" s="105"/>
      <c r="N779" s="204">
        <v>1600</v>
      </c>
      <c r="O779" s="9"/>
      <c r="P779" s="67">
        <f t="shared" si="176"/>
        <v>1600</v>
      </c>
      <c r="Q779" s="9"/>
      <c r="R779" s="9"/>
      <c r="S779" s="12">
        <v>1500</v>
      </c>
      <c r="T779" s="44">
        <v>4000</v>
      </c>
      <c r="U779" s="44">
        <v>2494.37</v>
      </c>
    </row>
    <row r="780" spans="1:21" ht="14.45" customHeight="1" x14ac:dyDescent="0.25">
      <c r="A780" s="7" t="s">
        <v>390</v>
      </c>
      <c r="B780" s="148"/>
      <c r="C780" s="148"/>
      <c r="D780" s="164"/>
      <c r="E780" s="164"/>
      <c r="F780" s="164"/>
      <c r="G780" s="194"/>
      <c r="H780" s="218"/>
      <c r="I780" s="296"/>
      <c r="J780" s="296"/>
      <c r="K780" s="164">
        <f t="shared" si="175"/>
        <v>0</v>
      </c>
      <c r="L780" s="364"/>
      <c r="M780" s="105"/>
      <c r="N780" s="105"/>
      <c r="O780" s="9"/>
      <c r="P780" s="9">
        <f t="shared" si="176"/>
        <v>0</v>
      </c>
      <c r="Q780" s="9"/>
      <c r="R780" s="9"/>
      <c r="S780" s="12">
        <v>0</v>
      </c>
      <c r="T780" s="44">
        <v>4000</v>
      </c>
      <c r="U780" s="44">
        <v>1777.29</v>
      </c>
    </row>
    <row r="781" spans="1:21" ht="14.45" customHeight="1" x14ac:dyDescent="0.25">
      <c r="A781" s="7" t="s">
        <v>391</v>
      </c>
      <c r="B781" s="148"/>
      <c r="C781" s="148"/>
      <c r="D781" s="164"/>
      <c r="E781" s="164"/>
      <c r="F781" s="164"/>
      <c r="G781" s="194"/>
      <c r="H781" s="218"/>
      <c r="I781" s="296"/>
      <c r="J781" s="296"/>
      <c r="K781" s="164">
        <f t="shared" si="175"/>
        <v>0</v>
      </c>
      <c r="L781" s="364"/>
      <c r="M781" s="105"/>
      <c r="N781" s="105"/>
      <c r="O781" s="9"/>
      <c r="P781" s="9">
        <f t="shared" si="176"/>
        <v>0</v>
      </c>
      <c r="Q781" s="9"/>
      <c r="R781" s="9"/>
      <c r="S781" s="12">
        <v>0</v>
      </c>
      <c r="T781" s="44">
        <v>9500</v>
      </c>
      <c r="U781" s="44">
        <v>219.52</v>
      </c>
    </row>
    <row r="782" spans="1:21" ht="14.45" customHeight="1" x14ac:dyDescent="0.25">
      <c r="A782" s="140" t="s">
        <v>392</v>
      </c>
      <c r="B782" s="293"/>
      <c r="C782" s="560"/>
      <c r="D782" s="176">
        <f t="shared" ref="D782:G782" si="177">SUM(D768:D781)</f>
        <v>17350</v>
      </c>
      <c r="E782" s="176">
        <f t="shared" si="177"/>
        <v>0</v>
      </c>
      <c r="F782" s="176">
        <f t="shared" si="177"/>
        <v>0</v>
      </c>
      <c r="G782" s="176">
        <f t="shared" si="177"/>
        <v>17350</v>
      </c>
      <c r="H782" s="224"/>
      <c r="I782" s="237"/>
      <c r="J782" s="237"/>
      <c r="K782" s="237">
        <f>SUM(K768:K781)</f>
        <v>5000</v>
      </c>
      <c r="L782" s="327"/>
      <c r="M782" s="205">
        <f>SUM(M768:M781)</f>
        <v>8750</v>
      </c>
      <c r="N782" s="205">
        <f t="shared" ref="N782:O782" si="178">SUM(N768:N781)</f>
        <v>3600</v>
      </c>
      <c r="O782" s="45">
        <f t="shared" si="178"/>
        <v>0</v>
      </c>
      <c r="P782" s="45">
        <f>SUM(M782:O782)</f>
        <v>12350</v>
      </c>
      <c r="Q782" s="60">
        <f>P782/P49</f>
        <v>1.869863552952719E-3</v>
      </c>
      <c r="R782" s="48">
        <f>P782-S782</f>
        <v>-8400</v>
      </c>
      <c r="S782" s="32">
        <v>20750</v>
      </c>
      <c r="T782" s="49">
        <v>41250</v>
      </c>
      <c r="U782" s="49">
        <v>13380.68</v>
      </c>
    </row>
    <row r="783" spans="1:21" ht="9.9499999999999993" customHeight="1" x14ac:dyDescent="0.25">
      <c r="A783" s="61"/>
      <c r="B783" s="546"/>
      <c r="C783" s="546"/>
      <c r="D783" s="70"/>
      <c r="E783" s="70"/>
      <c r="F783" s="70"/>
      <c r="G783" s="426"/>
      <c r="H783" s="70"/>
      <c r="I783" s="70"/>
      <c r="J783" s="70"/>
      <c r="K783" s="72"/>
      <c r="L783" s="336"/>
      <c r="M783" s="314"/>
      <c r="N783" s="70"/>
      <c r="O783" s="70"/>
      <c r="P783" s="70"/>
      <c r="Q783" s="70"/>
      <c r="R783" s="70"/>
      <c r="S783" s="70"/>
      <c r="T783" s="70"/>
      <c r="U783" s="70"/>
    </row>
    <row r="784" spans="1:21" s="668" customFormat="1" ht="41.1" customHeight="1" x14ac:dyDescent="0.25">
      <c r="A784" s="594" t="s">
        <v>393</v>
      </c>
      <c r="B784" s="664"/>
      <c r="C784" s="665"/>
      <c r="D784" s="584">
        <f>D672+D696+D739+D765+D782</f>
        <v>35350</v>
      </c>
      <c r="E784" s="584">
        <f>E672+E696+E739+E765+E782</f>
        <v>0</v>
      </c>
      <c r="F784" s="584">
        <f>F672+F696+F739+F765+F782</f>
        <v>33840</v>
      </c>
      <c r="G784" s="584">
        <f>G672+G696+G739+G765+G782</f>
        <v>69190</v>
      </c>
      <c r="H784" s="585"/>
      <c r="I784" s="586">
        <f>+G784/G$786</f>
        <v>1.2488568535476832E-2</v>
      </c>
      <c r="J784" s="585"/>
      <c r="K784" s="584">
        <f>+K696+K739+K765+K782</f>
        <v>-286135</v>
      </c>
      <c r="L784" s="587"/>
      <c r="M784" s="588">
        <f>M672+M696+M739+M765+M782</f>
        <v>34890</v>
      </c>
      <c r="N784" s="588">
        <f>N672+N696+N739+N765+N782</f>
        <v>221460</v>
      </c>
      <c r="O784" s="589">
        <f>O672+O696+O739+O765+O782</f>
        <v>98975</v>
      </c>
      <c r="P784" s="589">
        <f>P672+P696+P739+P765+P782</f>
        <v>355325</v>
      </c>
      <c r="Q784" s="666">
        <f>P784/P49</f>
        <v>5.3798321210763146E-2</v>
      </c>
      <c r="R784" s="667">
        <f>P784-S784</f>
        <v>-32703346</v>
      </c>
      <c r="S784" s="589">
        <f>S672+S696+S739+S765+S782</f>
        <v>33058671</v>
      </c>
      <c r="T784" s="589">
        <f>T672+T696+T739+T765+T782</f>
        <v>618552</v>
      </c>
      <c r="U784" s="589">
        <f>U672+U696+U739+U765+U782</f>
        <v>482258.24</v>
      </c>
    </row>
    <row r="785" spans="1:21" ht="15" customHeight="1" x14ac:dyDescent="0.25">
      <c r="D785" s="279"/>
      <c r="E785" s="279"/>
      <c r="F785" s="279"/>
      <c r="G785" s="279"/>
      <c r="L785" s="322"/>
    </row>
    <row r="786" spans="1:21" s="346" customFormat="1" ht="41.1" customHeight="1" x14ac:dyDescent="0.2">
      <c r="A786" s="649" t="s">
        <v>394</v>
      </c>
      <c r="B786" s="649"/>
      <c r="C786" s="649"/>
      <c r="D786" s="650">
        <f>D784+D654+D612+D557+D501+D315</f>
        <v>2868297.821</v>
      </c>
      <c r="E786" s="650">
        <f>E784+E654+E612+E557+E501+E315</f>
        <v>1897582.8447499999</v>
      </c>
      <c r="F786" s="650">
        <f>F784+F654+F612+F557+F501+F315-0.5</f>
        <v>774385.50320000004</v>
      </c>
      <c r="G786" s="650">
        <f>G784+G654+G612+G557+G501+G315</f>
        <v>5540266.6689499998</v>
      </c>
      <c r="H786" s="651"/>
      <c r="I786" s="652">
        <f>I784+I654+I612+I557+I501+I315</f>
        <v>1</v>
      </c>
      <c r="J786" s="651"/>
      <c r="K786" s="650">
        <f>K784+K654+K612+K557+K501+K315</f>
        <v>-364493.33105000004</v>
      </c>
      <c r="L786" s="653"/>
      <c r="M786" s="654">
        <f>M784+M654+M612+M557+M501+M315</f>
        <v>3010175</v>
      </c>
      <c r="N786" s="654">
        <f>N784+N654+N612+N557+N501+N315</f>
        <v>1948034</v>
      </c>
      <c r="O786" s="655">
        <f>O784+O654+O612+O557+O501+O315</f>
        <v>946551</v>
      </c>
      <c r="P786" s="656">
        <f>SUM(M786:O786)</f>
        <v>5904760</v>
      </c>
      <c r="Q786" s="349">
        <f>P786/P49</f>
        <v>0.89401583100672843</v>
      </c>
      <c r="R786" s="350">
        <f>P786-S786</f>
        <v>-41286</v>
      </c>
      <c r="S786" s="348">
        <v>5946046</v>
      </c>
      <c r="T786" s="348">
        <v>5208832</v>
      </c>
      <c r="U786" s="348">
        <f>U784+U654+U612+U557+U501+U315</f>
        <v>4419043.84</v>
      </c>
    </row>
    <row r="787" spans="1:21" ht="15" customHeight="1" x14ac:dyDescent="0.25">
      <c r="A787" s="593"/>
      <c r="B787" s="593"/>
      <c r="C787" s="593"/>
      <c r="D787" s="657"/>
      <c r="E787" s="657"/>
      <c r="F787" s="657"/>
      <c r="G787" s="657"/>
      <c r="H787" s="658"/>
      <c r="I787" s="659"/>
      <c r="J787" s="659"/>
      <c r="K787" s="659"/>
      <c r="L787" s="660"/>
      <c r="M787" s="661"/>
      <c r="N787" s="661"/>
      <c r="O787" s="661"/>
      <c r="P787" s="593"/>
    </row>
    <row r="788" spans="1:21" s="459" customFormat="1" ht="41.1" customHeight="1" thickBot="1" x14ac:dyDescent="0.35">
      <c r="A788" s="649" t="s">
        <v>479</v>
      </c>
      <c r="B788" s="649"/>
      <c r="C788" s="649"/>
      <c r="D788" s="650">
        <f>D56-D786</f>
        <v>0.17900000000372529</v>
      </c>
      <c r="E788" s="650">
        <f>E56-E786</f>
        <v>0.15525000006891787</v>
      </c>
      <c r="F788" s="650">
        <f>F56-F786</f>
        <v>0.49679999996442348</v>
      </c>
      <c r="G788" s="650">
        <f>G56-G786</f>
        <v>0.33105000015348196</v>
      </c>
      <c r="H788" s="651"/>
      <c r="I788" s="662"/>
      <c r="J788" s="662"/>
      <c r="K788" s="662"/>
      <c r="L788" s="663"/>
      <c r="M788" s="654">
        <f>M56-M786</f>
        <v>0</v>
      </c>
      <c r="N788" s="654">
        <f>N56-N786</f>
        <v>0</v>
      </c>
      <c r="O788" s="655">
        <f>O56-O786</f>
        <v>0</v>
      </c>
      <c r="P788" s="655">
        <f>P56-P786</f>
        <v>0</v>
      </c>
      <c r="R788" s="463"/>
      <c r="T788" s="464"/>
      <c r="U788" s="464"/>
    </row>
    <row r="789" spans="1:21" ht="15" customHeight="1" thickBot="1" x14ac:dyDescent="0.3">
      <c r="D789" s="385"/>
      <c r="E789" s="385"/>
      <c r="F789" s="385"/>
      <c r="G789" s="385"/>
      <c r="H789" s="231"/>
      <c r="K789" s="383"/>
      <c r="M789" s="381"/>
    </row>
    <row r="790" spans="1:21" ht="15" customHeight="1" thickBot="1" x14ac:dyDescent="0.3">
      <c r="D790" s="231"/>
      <c r="F790" s="720" t="s">
        <v>475</v>
      </c>
      <c r="G790" s="719">
        <f>+D786+E786+F786-G786</f>
        <v>-0.5</v>
      </c>
      <c r="H790" s="231"/>
      <c r="M790" s="382"/>
      <c r="N790" s="382">
        <f>+D788+E788</f>
        <v>0.33425000007264316</v>
      </c>
    </row>
    <row r="791" spans="1:21" ht="15" customHeight="1" x14ac:dyDescent="0.25">
      <c r="B791" s="721"/>
      <c r="D791" s="380"/>
      <c r="G791" s="389"/>
      <c r="H791" s="231"/>
    </row>
    <row r="792" spans="1:21" ht="15" customHeight="1" x14ac:dyDescent="0.25">
      <c r="A792" s="460"/>
      <c r="D792" s="461"/>
      <c r="H792" s="231"/>
    </row>
    <row r="793" spans="1:21" ht="15" customHeight="1" x14ac:dyDescent="0.25">
      <c r="H793" s="231"/>
    </row>
    <row r="794" spans="1:21" ht="15" customHeight="1" x14ac:dyDescent="0.25">
      <c r="A794" s="460"/>
      <c r="D794" s="461"/>
      <c r="H794" s="231"/>
    </row>
    <row r="795" spans="1:21" ht="15" customHeight="1" x14ac:dyDescent="0.25">
      <c r="A795" s="460"/>
      <c r="D795" s="461"/>
      <c r="H795" s="231"/>
    </row>
    <row r="796" spans="1:21" ht="15" customHeight="1" x14ac:dyDescent="0.25">
      <c r="A796" s="460"/>
      <c r="D796" s="461"/>
      <c r="H796" s="231"/>
    </row>
    <row r="797" spans="1:21" ht="15" customHeight="1" x14ac:dyDescent="0.25">
      <c r="A797" s="460"/>
      <c r="D797" s="461"/>
      <c r="H797" s="231"/>
    </row>
    <row r="798" spans="1:21" ht="15" customHeight="1" x14ac:dyDescent="0.25">
      <c r="A798" s="460"/>
      <c r="D798" s="461"/>
      <c r="H798" s="231"/>
    </row>
    <row r="799" spans="1:21" ht="15" customHeight="1" x14ac:dyDescent="0.25">
      <c r="A799" s="460"/>
      <c r="D799" s="461"/>
      <c r="H799" s="231"/>
    </row>
    <row r="800" spans="1:21" ht="15" customHeight="1" x14ac:dyDescent="0.25">
      <c r="A800" s="460"/>
      <c r="D800" s="461"/>
      <c r="H800" s="231"/>
    </row>
    <row r="801" spans="1:19" ht="15" customHeight="1" x14ac:dyDescent="0.25">
      <c r="A801" s="460"/>
      <c r="D801" s="461"/>
      <c r="H801" s="231"/>
    </row>
    <row r="802" spans="1:19" ht="15" hidden="1" customHeight="1" x14ac:dyDescent="0.25">
      <c r="A802" s="460"/>
      <c r="D802" s="461"/>
      <c r="H802" s="231"/>
    </row>
    <row r="803" spans="1:19" ht="15" hidden="1" customHeight="1" x14ac:dyDescent="0.25">
      <c r="A803" s="460"/>
      <c r="D803" s="461"/>
      <c r="H803" s="231"/>
    </row>
    <row r="804" spans="1:19" ht="15" hidden="1" customHeight="1" x14ac:dyDescent="0.25">
      <c r="A804" s="460" t="s">
        <v>489</v>
      </c>
      <c r="B804" s="553" t="s">
        <v>490</v>
      </c>
      <c r="D804" s="461"/>
      <c r="H804" s="231"/>
    </row>
    <row r="805" spans="1:19" ht="15" hidden="1" customHeight="1" x14ac:dyDescent="0.25">
      <c r="A805" s="460" t="str">
        <f>+A315</f>
        <v>Totals for 1 DSO Operations/Bishop's Office &amp; DSO Staff</v>
      </c>
      <c r="B805" s="553">
        <f>+I315</f>
        <v>0.70084841077440252</v>
      </c>
      <c r="D805" s="3"/>
      <c r="H805" s="231"/>
    </row>
    <row r="806" spans="1:19" ht="15" hidden="1" customHeight="1" x14ac:dyDescent="0.25">
      <c r="A806" s="460" t="str">
        <f>+A501</f>
        <v>Totals for 2 Formation</v>
      </c>
      <c r="B806" s="553">
        <f>+I501</f>
        <v>0.11665178566620953</v>
      </c>
      <c r="D806" s="3"/>
      <c r="H806" s="231"/>
    </row>
    <row r="807" spans="1:19" ht="15" hidden="1" customHeight="1" x14ac:dyDescent="0.25">
      <c r="A807" s="460" t="str">
        <f>+A557</f>
        <v>Totals for 3 Ordained/Licensed Ministries</v>
      </c>
      <c r="B807" s="553">
        <f>+I557</f>
        <v>8.2910734482218751E-2</v>
      </c>
      <c r="D807" s="3"/>
      <c r="H807" s="231"/>
    </row>
    <row r="808" spans="1:19" ht="15" hidden="1" customHeight="1" x14ac:dyDescent="0.25">
      <c r="A808" s="460" t="str">
        <f>+A612</f>
        <v>Totals for 4 Outreach &amp; Ministry Support</v>
      </c>
      <c r="B808" s="553">
        <f>+I612</f>
        <v>6.2379668822962753E-2</v>
      </c>
      <c r="D808" s="3"/>
      <c r="H808" s="231"/>
    </row>
    <row r="809" spans="1:19" ht="15" hidden="1" customHeight="1" x14ac:dyDescent="0.25">
      <c r="A809" s="460" t="str">
        <f>+A654</f>
        <v>Totals for 5 Governance &amp; TEC Membership</v>
      </c>
      <c r="B809" s="553">
        <f>+I654</f>
        <v>2.4720831718729682E-2</v>
      </c>
      <c r="D809" s="3"/>
      <c r="H809" s="231"/>
    </row>
    <row r="810" spans="1:19" ht="15" hidden="1" customHeight="1" x14ac:dyDescent="0.25">
      <c r="A810" s="460" t="str">
        <f>+A784</f>
        <v>Totals for 6 Transitions &amp; Congregational Ministries</v>
      </c>
      <c r="B810" s="553">
        <f>+I784</f>
        <v>1.2488568535476832E-2</v>
      </c>
      <c r="D810" s="3"/>
      <c r="H810" s="231"/>
    </row>
    <row r="811" spans="1:19" ht="15" hidden="1" customHeight="1" x14ac:dyDescent="0.25">
      <c r="A811" s="460"/>
      <c r="D811" s="461"/>
      <c r="H811" s="231"/>
    </row>
    <row r="812" spans="1:19" ht="15" hidden="1" customHeight="1" x14ac:dyDescent="0.25">
      <c r="A812" s="460"/>
      <c r="D812" s="461"/>
      <c r="H812" s="231"/>
    </row>
    <row r="813" spans="1:19" ht="15" hidden="1" customHeight="1" x14ac:dyDescent="0.25">
      <c r="D813" s="380"/>
      <c r="G813" s="385"/>
      <c r="H813" s="462"/>
      <c r="I813" s="462"/>
      <c r="J813" s="462"/>
      <c r="K813" s="462"/>
    </row>
    <row r="814" spans="1:19" ht="15" hidden="1" customHeight="1" x14ac:dyDescent="0.25">
      <c r="D814" s="380"/>
      <c r="G814" s="385"/>
      <c r="H814" s="462"/>
      <c r="I814" s="462"/>
      <c r="J814" s="462"/>
      <c r="K814" s="462"/>
    </row>
    <row r="815" spans="1:19" hidden="1" x14ac:dyDescent="0.25">
      <c r="H815" s="231"/>
    </row>
    <row r="816" spans="1:19" ht="30.75" customHeight="1" x14ac:dyDescent="0.25"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Q816" s="22"/>
      <c r="R816" s="22"/>
      <c r="S816" s="22"/>
    </row>
    <row r="817" spans="4:19" ht="15" customHeight="1" x14ac:dyDescent="0.25"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Q817" s="22"/>
      <c r="R817" s="22"/>
      <c r="S817" s="22"/>
    </row>
    <row r="818" spans="4:19" ht="15" customHeight="1" x14ac:dyDescent="0.25"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Q818" s="22"/>
      <c r="R818" s="22"/>
      <c r="S818" s="22"/>
    </row>
    <row r="819" spans="4:19" ht="15" customHeight="1" x14ac:dyDescent="0.25"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Q819" s="22"/>
      <c r="R819" s="22"/>
      <c r="S819" s="22"/>
    </row>
    <row r="820" spans="4:19" ht="15" customHeight="1" x14ac:dyDescent="0.25"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Q820" s="22"/>
      <c r="R820" s="22"/>
      <c r="S820" s="22"/>
    </row>
    <row r="821" spans="4:19" ht="15" hidden="1" customHeight="1" x14ac:dyDescent="0.25"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Q821" s="22"/>
      <c r="R821" s="22"/>
      <c r="S821" s="22"/>
    </row>
    <row r="822" spans="4:19" ht="15" hidden="1" customHeight="1" x14ac:dyDescent="0.25"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Q822" s="22"/>
      <c r="R822" s="22"/>
      <c r="S822" s="22"/>
    </row>
    <row r="823" spans="4:19" ht="15" customHeight="1" x14ac:dyDescent="0.25"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Q823" s="22"/>
      <c r="R823" s="22"/>
      <c r="S823" s="22"/>
    </row>
    <row r="824" spans="4:19" ht="15" customHeight="1" x14ac:dyDescent="0.25"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Q824" s="22"/>
      <c r="R824" s="22"/>
      <c r="S824" s="22"/>
    </row>
    <row r="825" spans="4:19" ht="15" hidden="1" customHeight="1" x14ac:dyDescent="0.25"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Q825" s="22"/>
      <c r="R825" s="22"/>
      <c r="S825" s="22"/>
    </row>
    <row r="826" spans="4:19" ht="15" customHeight="1" x14ac:dyDescent="0.25"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Q826" s="22"/>
      <c r="R826" s="22"/>
      <c r="S826" s="22"/>
    </row>
    <row r="827" spans="4:19" ht="15" customHeight="1" x14ac:dyDescent="0.25"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Q827" s="22"/>
      <c r="R827" s="22"/>
      <c r="S827" s="22"/>
    </row>
    <row r="828" spans="4:19" ht="18.75" customHeight="1" x14ac:dyDescent="0.25"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Q828" s="22"/>
      <c r="R828" s="22"/>
      <c r="S828" s="22"/>
    </row>
    <row r="829" spans="4:19" ht="15" customHeight="1" x14ac:dyDescent="0.25"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Q829" s="22"/>
      <c r="R829" s="22"/>
      <c r="S829" s="22"/>
    </row>
    <row r="830" spans="4:19" ht="15" customHeight="1" x14ac:dyDescent="0.25"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Q830" s="22"/>
      <c r="R830" s="22"/>
      <c r="S830" s="22"/>
    </row>
    <row r="831" spans="4:19" ht="6" customHeight="1" x14ac:dyDescent="0.25"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Q831" s="22"/>
      <c r="R831" s="22"/>
      <c r="S831" s="22"/>
    </row>
    <row r="832" spans="4:19" ht="15" customHeight="1" x14ac:dyDescent="0.25"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Q832" s="22"/>
      <c r="R832" s="22"/>
      <c r="S832" s="22"/>
    </row>
    <row r="833" spans="4:19" ht="15" customHeight="1" x14ac:dyDescent="0.25"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Q833" s="22"/>
      <c r="R833" s="22"/>
      <c r="S833" s="22"/>
    </row>
    <row r="834" spans="4:19" ht="15" customHeight="1" x14ac:dyDescent="0.25"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Q834" s="22"/>
      <c r="R834" s="22"/>
      <c r="S834" s="22"/>
    </row>
    <row r="835" spans="4:19" ht="15" customHeight="1" x14ac:dyDescent="0.25"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Q835" s="22"/>
      <c r="R835" s="22"/>
      <c r="S835" s="22"/>
    </row>
    <row r="836" spans="4:19" ht="15" customHeight="1" x14ac:dyDescent="0.25"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Q836" s="22"/>
      <c r="R836" s="22"/>
      <c r="S836" s="22"/>
    </row>
    <row r="837" spans="4:19" ht="15" customHeight="1" x14ac:dyDescent="0.25"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Q837" s="22"/>
      <c r="R837" s="22"/>
      <c r="S837" s="22"/>
    </row>
    <row r="838" spans="4:19" ht="15" hidden="1" customHeight="1" x14ac:dyDescent="0.25"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Q838" s="22"/>
      <c r="R838" s="22"/>
      <c r="S838" s="22"/>
    </row>
    <row r="839" spans="4:19" ht="15" customHeight="1" x14ac:dyDescent="0.25"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Q839" s="22"/>
      <c r="R839" s="22"/>
      <c r="S839" s="22"/>
    </row>
    <row r="840" spans="4:19" ht="15" hidden="1" customHeight="1" x14ac:dyDescent="0.25"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Q840" s="22"/>
      <c r="R840" s="22"/>
      <c r="S840" s="22"/>
    </row>
    <row r="841" spans="4:19" ht="15" customHeight="1" x14ac:dyDescent="0.25"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Q841" s="22"/>
      <c r="R841" s="22"/>
      <c r="S841" s="22"/>
    </row>
    <row r="842" spans="4:19" ht="15" customHeight="1" x14ac:dyDescent="0.25"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Q842" s="22"/>
      <c r="R842" s="22"/>
      <c r="S842" s="22"/>
    </row>
    <row r="843" spans="4:19" ht="15" customHeight="1" x14ac:dyDescent="0.25"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Q843" s="22"/>
      <c r="R843" s="22"/>
      <c r="S843" s="22"/>
    </row>
    <row r="844" spans="4:19" ht="15" customHeight="1" x14ac:dyDescent="0.25"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Q844" s="22"/>
      <c r="R844" s="22"/>
      <c r="S844" s="22"/>
    </row>
    <row r="845" spans="4:19" ht="6.75" customHeight="1" x14ac:dyDescent="0.25"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Q845" s="22"/>
      <c r="R845" s="22"/>
      <c r="S845" s="22"/>
    </row>
    <row r="846" spans="4:19" ht="15" customHeight="1" x14ac:dyDescent="0.25"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Q846" s="22"/>
      <c r="R846" s="22"/>
      <c r="S846" s="22"/>
    </row>
    <row r="858" spans="2:6" ht="15" customHeight="1" x14ac:dyDescent="0.25">
      <c r="B858" s="139"/>
      <c r="D858" s="385"/>
      <c r="E858" s="385"/>
      <c r="F858" s="385"/>
    </row>
    <row r="859" spans="2:6" ht="15" customHeight="1" x14ac:dyDescent="0.25">
      <c r="B859" s="139"/>
      <c r="D859" s="385"/>
      <c r="E859" s="385"/>
      <c r="F859" s="385"/>
    </row>
    <row r="860" spans="2:6" ht="15" customHeight="1" x14ac:dyDescent="0.25">
      <c r="D860" s="385"/>
      <c r="E860" s="385"/>
      <c r="F860" s="385"/>
    </row>
  </sheetData>
  <sheetProtection formatCells="0" formatColumns="0" formatRows="0" insertColumns="0" insertRows="0" insertHyperlinks="0" deleteColumns="0" deleteRows="0" sort="0" autoFilter="0" pivotTables="0"/>
  <phoneticPr fontId="16" type="noConversion"/>
  <pageMargins left="0.75" right="0.25" top="0.5" bottom="0.5" header="0" footer="0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9785-3303-4B40-BB47-4415DA0CE283}">
  <dimension ref="C2:U91"/>
  <sheetViews>
    <sheetView tabSelected="1" topLeftCell="A2" zoomScale="110" zoomScaleNormal="110" workbookViewId="0">
      <pane xSplit="4" ySplit="2" topLeftCell="F73" activePane="bottomRight" state="frozen"/>
      <selection activeCell="A2" sqref="A2"/>
      <selection pane="topRight" activeCell="E2" sqref="E2"/>
      <selection pane="bottomLeft" activeCell="A4" sqref="A4"/>
      <selection pane="bottomRight" activeCell="M92" sqref="M92"/>
    </sheetView>
  </sheetViews>
  <sheetFormatPr defaultRowHeight="15" x14ac:dyDescent="0.25"/>
  <cols>
    <col min="1" max="2" width="9.140625" style="514"/>
    <col min="3" max="3" width="50.85546875" style="514" customWidth="1"/>
    <col min="4" max="4" width="22.42578125" style="514" customWidth="1"/>
    <col min="5" max="5" width="12.140625" style="514" bestFit="1" customWidth="1"/>
    <col min="6" max="6" width="13.140625" style="514" customWidth="1"/>
    <col min="7" max="7" width="14.28515625" style="514" customWidth="1"/>
    <col min="8" max="8" width="3.42578125" style="514" customWidth="1"/>
    <col min="9" max="9" width="17.140625" style="514" customWidth="1"/>
    <col min="10" max="11" width="15.140625" style="514" customWidth="1"/>
    <col min="12" max="12" width="15.140625" style="518" customWidth="1"/>
    <col min="13" max="13" width="12.140625" style="514" customWidth="1"/>
    <col min="14" max="17" width="14.28515625" style="514" customWidth="1"/>
    <col min="18" max="18" width="21.85546875" style="516" customWidth="1"/>
    <col min="19" max="19" width="3" style="514" customWidth="1"/>
    <col min="20" max="20" width="17.140625" style="514" customWidth="1"/>
    <col min="21" max="21" width="12.5703125" style="514" bestFit="1" customWidth="1"/>
    <col min="22" max="16384" width="9.140625" style="514"/>
  </cols>
  <sheetData>
    <row r="2" spans="3:20" ht="30" customHeight="1" x14ac:dyDescent="0.25">
      <c r="E2" s="722" t="s">
        <v>528</v>
      </c>
      <c r="F2" s="722"/>
      <c r="G2" s="722"/>
      <c r="H2" s="515"/>
      <c r="I2" s="515"/>
      <c r="J2" s="515"/>
      <c r="K2" s="515"/>
      <c r="L2" s="515"/>
      <c r="M2" s="515"/>
      <c r="N2" s="722" t="s">
        <v>532</v>
      </c>
      <c r="O2" s="722"/>
      <c r="P2" s="722"/>
      <c r="Q2" s="515"/>
      <c r="R2" s="533" t="s">
        <v>533</v>
      </c>
    </row>
    <row r="3" spans="3:20" ht="45" x14ac:dyDescent="0.25">
      <c r="C3" s="517"/>
      <c r="D3" s="515" t="s">
        <v>530</v>
      </c>
      <c r="E3" s="518" t="s">
        <v>525</v>
      </c>
      <c r="F3" s="518" t="s">
        <v>527</v>
      </c>
      <c r="G3" s="518" t="s">
        <v>526</v>
      </c>
      <c r="H3" s="518"/>
      <c r="I3" s="518" t="s">
        <v>535</v>
      </c>
      <c r="J3" s="518" t="s">
        <v>537</v>
      </c>
      <c r="K3" s="518" t="s">
        <v>538</v>
      </c>
      <c r="L3" s="518" t="s">
        <v>539</v>
      </c>
      <c r="M3" s="518" t="s">
        <v>536</v>
      </c>
      <c r="N3" s="518" t="s">
        <v>525</v>
      </c>
      <c r="O3" s="518" t="s">
        <v>526</v>
      </c>
      <c r="P3" s="514" t="s">
        <v>534</v>
      </c>
      <c r="Q3" s="518"/>
      <c r="R3" s="519" t="s">
        <v>529</v>
      </c>
      <c r="T3" s="514" t="s">
        <v>531</v>
      </c>
    </row>
    <row r="4" spans="3:20" ht="21.95" customHeight="1" x14ac:dyDescent="0.25">
      <c r="C4" s="532" t="s">
        <v>54</v>
      </c>
      <c r="D4" s="520">
        <v>226600</v>
      </c>
      <c r="E4" s="521">
        <v>199519</v>
      </c>
      <c r="F4" s="516">
        <v>99760</v>
      </c>
      <c r="G4" s="522">
        <v>92069</v>
      </c>
      <c r="H4" s="522"/>
      <c r="I4" s="522">
        <f>+G4/6</f>
        <v>15344.833333333334</v>
      </c>
      <c r="J4" s="522">
        <f>+I4*12</f>
        <v>184138</v>
      </c>
      <c r="K4" s="522">
        <f>+J4*1.05</f>
        <v>193344.9</v>
      </c>
      <c r="L4" s="535">
        <f>+M4*1.05*12+0.1</f>
        <v>226630.00000000003</v>
      </c>
      <c r="M4" s="522">
        <f>+O4/2</f>
        <v>17986.5</v>
      </c>
      <c r="N4" s="522">
        <v>29615</v>
      </c>
      <c r="O4" s="522">
        <v>35973</v>
      </c>
      <c r="P4" s="522">
        <f>+O4+2*G4</f>
        <v>220111</v>
      </c>
      <c r="Q4" s="522"/>
      <c r="R4" s="516">
        <f>+E4*1.05</f>
        <v>209494.95</v>
      </c>
    </row>
    <row r="5" spans="3:20" ht="21.95" customHeight="1" x14ac:dyDescent="0.25">
      <c r="C5" s="532" t="s">
        <v>55</v>
      </c>
      <c r="D5" s="520">
        <f>+'DSO staff consolidated '!F61</f>
        <v>32280.003199999999</v>
      </c>
      <c r="E5" s="521">
        <v>27462</v>
      </c>
      <c r="F5" s="516">
        <v>13731</v>
      </c>
      <c r="G5" s="522">
        <v>7704</v>
      </c>
      <c r="H5" s="522"/>
      <c r="I5" s="522">
        <f t="shared" ref="I5:I20" si="0">+G5/6</f>
        <v>1284</v>
      </c>
      <c r="J5" s="522">
        <f t="shared" ref="J5:J20" si="1">+I5*12</f>
        <v>15408</v>
      </c>
      <c r="K5" s="522">
        <f>+J5*1.031</f>
        <v>15885.647999999999</v>
      </c>
      <c r="L5" s="535">
        <f>12*1.031*M5</f>
        <v>32179.572</v>
      </c>
      <c r="M5" s="522">
        <f t="shared" ref="M5:M20" si="2">+O5/2</f>
        <v>2601</v>
      </c>
      <c r="N5" s="522">
        <v>3860</v>
      </c>
      <c r="O5" s="522">
        <v>5202</v>
      </c>
      <c r="P5" s="522">
        <f>+O5+2*G5</f>
        <v>20610</v>
      </c>
      <c r="Q5" s="522"/>
      <c r="R5" s="521">
        <v>27462</v>
      </c>
    </row>
    <row r="6" spans="3:20" ht="21.95" customHeight="1" x14ac:dyDescent="0.25">
      <c r="C6" s="532" t="s">
        <v>56</v>
      </c>
      <c r="D6" s="520">
        <f>+'DSO staff consolidated '!F62</f>
        <v>2860</v>
      </c>
      <c r="E6" s="521">
        <v>3500</v>
      </c>
      <c r="F6" s="516">
        <v>1750</v>
      </c>
      <c r="G6" s="522">
        <v>1038</v>
      </c>
      <c r="H6" s="522"/>
      <c r="I6" s="522">
        <f t="shared" si="0"/>
        <v>173</v>
      </c>
      <c r="J6" s="522">
        <f t="shared" si="1"/>
        <v>2076</v>
      </c>
      <c r="K6" s="522">
        <f>+J6*1.05</f>
        <v>2179.8000000000002</v>
      </c>
      <c r="L6" s="535">
        <v>2860</v>
      </c>
      <c r="M6" s="522">
        <f t="shared" si="2"/>
        <v>231</v>
      </c>
      <c r="N6" s="522">
        <v>500</v>
      </c>
      <c r="O6" s="522">
        <v>462</v>
      </c>
      <c r="P6" s="522">
        <f>+O6+2*G6</f>
        <v>2538</v>
      </c>
      <c r="Q6" s="522"/>
      <c r="R6" s="521">
        <v>3500</v>
      </c>
    </row>
    <row r="7" spans="3:20" ht="21.95" customHeight="1" x14ac:dyDescent="0.25">
      <c r="C7" s="532" t="s">
        <v>57</v>
      </c>
      <c r="D7" s="523">
        <v>306</v>
      </c>
      <c r="E7" s="521">
        <v>306</v>
      </c>
      <c r="F7" s="516">
        <v>153</v>
      </c>
      <c r="G7" s="522">
        <v>102</v>
      </c>
      <c r="H7" s="522"/>
      <c r="I7" s="522">
        <f t="shared" si="0"/>
        <v>17</v>
      </c>
      <c r="J7" s="522">
        <f t="shared" si="1"/>
        <v>204</v>
      </c>
      <c r="K7" s="522">
        <v>204</v>
      </c>
      <c r="L7" s="535">
        <v>460</v>
      </c>
      <c r="M7" s="522">
        <f t="shared" si="2"/>
        <v>38.5</v>
      </c>
      <c r="N7" s="522">
        <v>0</v>
      </c>
      <c r="O7" s="522">
        <v>77</v>
      </c>
      <c r="P7" s="522">
        <f>+O7+2*G7</f>
        <v>281</v>
      </c>
      <c r="Q7" s="522"/>
      <c r="R7" s="521">
        <v>306</v>
      </c>
    </row>
    <row r="8" spans="3:20" ht="21.95" customHeight="1" x14ac:dyDescent="0.25">
      <c r="C8" s="532" t="s">
        <v>58</v>
      </c>
      <c r="D8" s="520">
        <v>9000</v>
      </c>
      <c r="E8" s="521">
        <v>9000</v>
      </c>
      <c r="F8" s="516">
        <v>4500</v>
      </c>
      <c r="G8" s="522">
        <v>0</v>
      </c>
      <c r="H8" s="522"/>
      <c r="I8" s="522">
        <f t="shared" si="0"/>
        <v>0</v>
      </c>
      <c r="J8" s="522">
        <f t="shared" si="1"/>
        <v>0</v>
      </c>
      <c r="K8" s="522">
        <v>9000</v>
      </c>
      <c r="L8" s="535">
        <v>9000</v>
      </c>
      <c r="M8" s="522">
        <f t="shared" si="2"/>
        <v>0</v>
      </c>
      <c r="N8" s="522">
        <v>0</v>
      </c>
      <c r="O8" s="522">
        <v>0</v>
      </c>
      <c r="P8" s="522"/>
      <c r="Q8" s="522"/>
      <c r="R8" s="521">
        <v>9000</v>
      </c>
    </row>
    <row r="9" spans="3:20" x14ac:dyDescent="0.25">
      <c r="C9" s="534" t="s">
        <v>59</v>
      </c>
      <c r="D9" s="524">
        <f>+'DSO staff consolidated '!D65</f>
        <v>40793.4</v>
      </c>
      <c r="E9" s="521">
        <v>33000</v>
      </c>
      <c r="F9" s="516">
        <v>13200</v>
      </c>
      <c r="G9" s="522">
        <v>15272</v>
      </c>
      <c r="H9" s="522"/>
      <c r="I9" s="522">
        <f t="shared" si="0"/>
        <v>2545.3333333333335</v>
      </c>
      <c r="J9" s="522">
        <f t="shared" si="1"/>
        <v>30544</v>
      </c>
      <c r="K9" s="522">
        <f>+J9*1.05</f>
        <v>32071.200000000001</v>
      </c>
      <c r="L9" s="535">
        <v>40800</v>
      </c>
      <c r="M9" s="522">
        <f t="shared" si="2"/>
        <v>3300</v>
      </c>
      <c r="N9" s="522">
        <v>6600</v>
      </c>
      <c r="O9" s="522">
        <v>6600</v>
      </c>
      <c r="P9" s="522">
        <f>+O9+2*F9</f>
        <v>33000</v>
      </c>
      <c r="Q9" s="522"/>
      <c r="R9" s="522">
        <f>+G9*2</f>
        <v>30544</v>
      </c>
    </row>
    <row r="10" spans="3:20" ht="21.95" hidden="1" customHeight="1" x14ac:dyDescent="0.25">
      <c r="C10" s="532" t="s">
        <v>60</v>
      </c>
      <c r="D10" s="524"/>
      <c r="E10" s="521">
        <v>0</v>
      </c>
      <c r="F10" s="516">
        <v>0</v>
      </c>
      <c r="G10" s="522">
        <v>338</v>
      </c>
      <c r="H10" s="522"/>
      <c r="I10" s="522">
        <f t="shared" si="0"/>
        <v>56.333333333333336</v>
      </c>
      <c r="J10" s="522">
        <f t="shared" si="1"/>
        <v>676</v>
      </c>
      <c r="K10" s="522"/>
      <c r="L10" s="535"/>
      <c r="M10" s="522">
        <f t="shared" si="2"/>
        <v>0</v>
      </c>
      <c r="N10" s="522"/>
      <c r="O10" s="522"/>
      <c r="P10" s="522"/>
      <c r="Q10" s="522"/>
      <c r="R10" s="522">
        <f>+G10*2</f>
        <v>676</v>
      </c>
    </row>
    <row r="11" spans="3:20" ht="21.95" hidden="1" customHeight="1" x14ac:dyDescent="0.25">
      <c r="C11" s="532" t="s">
        <v>61</v>
      </c>
      <c r="D11" s="524"/>
      <c r="E11" s="521">
        <v>0</v>
      </c>
      <c r="F11" s="516">
        <v>0</v>
      </c>
      <c r="G11" s="522"/>
      <c r="H11" s="522"/>
      <c r="I11" s="522">
        <f t="shared" si="0"/>
        <v>0</v>
      </c>
      <c r="J11" s="522">
        <f t="shared" si="1"/>
        <v>0</v>
      </c>
      <c r="K11" s="522"/>
      <c r="L11" s="535"/>
      <c r="M11" s="522">
        <f t="shared" si="2"/>
        <v>0</v>
      </c>
      <c r="N11" s="522"/>
      <c r="O11" s="522"/>
      <c r="P11" s="522"/>
      <c r="Q11" s="522"/>
      <c r="R11" s="522"/>
    </row>
    <row r="12" spans="3:20" ht="21.95" customHeight="1" x14ac:dyDescent="0.25">
      <c r="C12" s="532" t="s">
        <v>62</v>
      </c>
      <c r="D12" s="520">
        <v>1000</v>
      </c>
      <c r="E12" s="521">
        <v>1000</v>
      </c>
      <c r="F12" s="516">
        <v>500</v>
      </c>
      <c r="G12" s="522">
        <v>3700</v>
      </c>
      <c r="H12" s="522"/>
      <c r="I12" s="522">
        <f t="shared" si="0"/>
        <v>616.66666666666663</v>
      </c>
      <c r="J12" s="522">
        <f t="shared" si="1"/>
        <v>7400</v>
      </c>
      <c r="K12" s="522">
        <f t="shared" ref="K12:K20" si="3">+J12</f>
        <v>7400</v>
      </c>
      <c r="L12" s="535">
        <f>+M12*12</f>
        <v>10200</v>
      </c>
      <c r="M12" s="522">
        <f t="shared" si="2"/>
        <v>850</v>
      </c>
      <c r="N12" s="522">
        <v>0</v>
      </c>
      <c r="O12" s="522">
        <v>1700</v>
      </c>
      <c r="P12" s="522">
        <f t="shared" ref="P12:P20" si="4">+O12+2*G12</f>
        <v>9100</v>
      </c>
      <c r="Q12" s="522"/>
      <c r="R12" s="522">
        <f>+G12*2</f>
        <v>7400</v>
      </c>
    </row>
    <row r="13" spans="3:20" ht="21.95" customHeight="1" x14ac:dyDescent="0.25">
      <c r="C13" s="532" t="s">
        <v>63</v>
      </c>
      <c r="D13" s="520">
        <v>1000</v>
      </c>
      <c r="E13" s="521">
        <v>750</v>
      </c>
      <c r="F13" s="516">
        <v>375</v>
      </c>
      <c r="G13" s="522">
        <v>2375</v>
      </c>
      <c r="H13" s="522"/>
      <c r="I13" s="522">
        <f t="shared" si="0"/>
        <v>395.83333333333331</v>
      </c>
      <c r="J13" s="522">
        <f t="shared" si="1"/>
        <v>4750</v>
      </c>
      <c r="K13" s="522">
        <f t="shared" si="3"/>
        <v>4750</v>
      </c>
      <c r="L13" s="535">
        <v>4600</v>
      </c>
      <c r="M13" s="522">
        <f t="shared" si="2"/>
        <v>380</v>
      </c>
      <c r="N13" s="522">
        <v>250</v>
      </c>
      <c r="O13" s="522">
        <v>760</v>
      </c>
      <c r="P13" s="522">
        <f t="shared" si="4"/>
        <v>5510</v>
      </c>
      <c r="Q13" s="522"/>
      <c r="R13" s="522">
        <f>+G13*2</f>
        <v>4750</v>
      </c>
    </row>
    <row r="14" spans="3:20" ht="21.95" customHeight="1" x14ac:dyDescent="0.25">
      <c r="C14" s="532" t="s">
        <v>64</v>
      </c>
      <c r="D14" s="520">
        <v>1000</v>
      </c>
      <c r="E14" s="521">
        <v>750</v>
      </c>
      <c r="F14" s="516">
        <v>375</v>
      </c>
      <c r="G14" s="522">
        <v>2440</v>
      </c>
      <c r="H14" s="522"/>
      <c r="I14" s="522">
        <f t="shared" si="0"/>
        <v>406.66666666666669</v>
      </c>
      <c r="J14" s="522">
        <f t="shared" si="1"/>
        <v>4880</v>
      </c>
      <c r="K14" s="522">
        <f t="shared" si="3"/>
        <v>4880</v>
      </c>
      <c r="L14" s="535">
        <v>4000</v>
      </c>
      <c r="M14" s="522">
        <f t="shared" si="2"/>
        <v>327.5</v>
      </c>
      <c r="N14" s="522">
        <v>250</v>
      </c>
      <c r="O14" s="522">
        <v>655</v>
      </c>
      <c r="P14" s="522">
        <f t="shared" si="4"/>
        <v>5535</v>
      </c>
      <c r="Q14" s="522"/>
      <c r="R14" s="522">
        <f>+G14*2</f>
        <v>4880</v>
      </c>
    </row>
    <row r="15" spans="3:20" ht="21.95" customHeight="1" x14ac:dyDescent="0.25">
      <c r="C15" s="532" t="s">
        <v>65</v>
      </c>
      <c r="D15" s="520">
        <v>15000</v>
      </c>
      <c r="E15" s="521">
        <v>13000</v>
      </c>
      <c r="F15" s="516">
        <v>6500</v>
      </c>
      <c r="G15" s="522">
        <v>8877</v>
      </c>
      <c r="H15" s="522"/>
      <c r="I15" s="522">
        <f t="shared" si="0"/>
        <v>1479.5</v>
      </c>
      <c r="J15" s="522">
        <f t="shared" si="1"/>
        <v>17754</v>
      </c>
      <c r="K15" s="522">
        <f t="shared" si="3"/>
        <v>17754</v>
      </c>
      <c r="L15" s="535">
        <v>22300</v>
      </c>
      <c r="M15" s="522">
        <f t="shared" si="2"/>
        <v>1856.5</v>
      </c>
      <c r="N15" s="522">
        <v>2000</v>
      </c>
      <c r="O15" s="522">
        <v>3713</v>
      </c>
      <c r="P15" s="522">
        <f t="shared" si="4"/>
        <v>21467</v>
      </c>
      <c r="Q15" s="522"/>
      <c r="R15" s="522">
        <f>+G15*2</f>
        <v>17754</v>
      </c>
    </row>
    <row r="16" spans="3:20" ht="21.95" customHeight="1" x14ac:dyDescent="0.25">
      <c r="C16" s="532" t="s">
        <v>66</v>
      </c>
      <c r="D16" s="520">
        <v>4000</v>
      </c>
      <c r="E16" s="521">
        <v>4000</v>
      </c>
      <c r="F16" s="516">
        <v>2000</v>
      </c>
      <c r="G16" s="522">
        <v>446</v>
      </c>
      <c r="H16" s="522"/>
      <c r="I16" s="522">
        <f t="shared" si="0"/>
        <v>74.333333333333329</v>
      </c>
      <c r="J16" s="522">
        <f t="shared" si="1"/>
        <v>892</v>
      </c>
      <c r="K16" s="522">
        <f t="shared" si="3"/>
        <v>892</v>
      </c>
      <c r="L16" s="535">
        <v>900</v>
      </c>
      <c r="M16" s="522">
        <f t="shared" si="2"/>
        <v>75.5</v>
      </c>
      <c r="N16" s="522">
        <v>0</v>
      </c>
      <c r="O16" s="522">
        <v>151</v>
      </c>
      <c r="P16" s="522">
        <f t="shared" si="4"/>
        <v>1043</v>
      </c>
      <c r="Q16" s="522"/>
      <c r="R16" s="521">
        <v>4000</v>
      </c>
    </row>
    <row r="17" spans="3:21" ht="21.95" customHeight="1" x14ac:dyDescent="0.25">
      <c r="C17" s="532" t="s">
        <v>67</v>
      </c>
      <c r="D17" s="520">
        <v>0</v>
      </c>
      <c r="E17" s="521">
        <v>0</v>
      </c>
      <c r="F17" s="516">
        <v>0</v>
      </c>
      <c r="G17" s="522">
        <v>551</v>
      </c>
      <c r="H17" s="522"/>
      <c r="I17" s="522">
        <f t="shared" si="0"/>
        <v>91.833333333333329</v>
      </c>
      <c r="J17" s="522">
        <f t="shared" si="1"/>
        <v>1102</v>
      </c>
      <c r="K17" s="522">
        <f t="shared" si="3"/>
        <v>1102</v>
      </c>
      <c r="L17" s="535">
        <v>1000</v>
      </c>
      <c r="M17" s="522">
        <f t="shared" si="2"/>
        <v>0</v>
      </c>
      <c r="N17" s="522">
        <v>0</v>
      </c>
      <c r="O17" s="522">
        <v>0</v>
      </c>
      <c r="P17" s="522">
        <f t="shared" si="4"/>
        <v>1102</v>
      </c>
      <c r="Q17" s="522"/>
      <c r="R17" s="521">
        <v>1000</v>
      </c>
    </row>
    <row r="18" spans="3:21" ht="21.95" customHeight="1" x14ac:dyDescent="0.25">
      <c r="C18" s="532" t="s">
        <v>68</v>
      </c>
      <c r="D18" s="520">
        <v>5000</v>
      </c>
      <c r="E18" s="521">
        <v>5000</v>
      </c>
      <c r="F18" s="516">
        <f>+E18/2</f>
        <v>2500</v>
      </c>
      <c r="G18" s="522">
        <v>2108</v>
      </c>
      <c r="H18" s="522"/>
      <c r="I18" s="522">
        <f t="shared" si="0"/>
        <v>351.33333333333331</v>
      </c>
      <c r="J18" s="522">
        <f t="shared" si="1"/>
        <v>4216</v>
      </c>
      <c r="K18" s="522">
        <f t="shared" si="3"/>
        <v>4216</v>
      </c>
      <c r="L18" s="535">
        <v>4200</v>
      </c>
      <c r="M18" s="522">
        <f t="shared" si="2"/>
        <v>0</v>
      </c>
      <c r="N18" s="522">
        <v>0</v>
      </c>
      <c r="O18" s="522">
        <v>0</v>
      </c>
      <c r="P18" s="522">
        <f t="shared" si="4"/>
        <v>4216</v>
      </c>
      <c r="Q18" s="522"/>
      <c r="R18" s="521">
        <v>5000</v>
      </c>
    </row>
    <row r="19" spans="3:21" ht="21.95" customHeight="1" x14ac:dyDescent="0.25">
      <c r="C19" s="532" t="s">
        <v>69</v>
      </c>
      <c r="D19" s="520">
        <v>18000</v>
      </c>
      <c r="E19" s="521">
        <v>18000</v>
      </c>
      <c r="F19" s="516">
        <v>9000</v>
      </c>
      <c r="G19" s="522">
        <v>13245</v>
      </c>
      <c r="H19" s="522"/>
      <c r="I19" s="522">
        <f t="shared" si="0"/>
        <v>2207.5</v>
      </c>
      <c r="J19" s="522">
        <f t="shared" si="1"/>
        <v>26490</v>
      </c>
      <c r="K19" s="522">
        <f t="shared" si="3"/>
        <v>26490</v>
      </c>
      <c r="L19" s="535">
        <v>26490</v>
      </c>
      <c r="M19" s="522">
        <f t="shared" si="2"/>
        <v>4.5</v>
      </c>
      <c r="N19" s="522">
        <v>0</v>
      </c>
      <c r="O19" s="522">
        <v>9</v>
      </c>
      <c r="P19" s="522">
        <f t="shared" si="4"/>
        <v>26499</v>
      </c>
      <c r="Q19" s="522"/>
      <c r="R19" s="522">
        <f>+G19*2</f>
        <v>26490</v>
      </c>
    </row>
    <row r="20" spans="3:21" ht="21.95" customHeight="1" x14ac:dyDescent="0.25">
      <c r="C20" s="532" t="s">
        <v>70</v>
      </c>
      <c r="D20" s="520">
        <v>540</v>
      </c>
      <c r="E20" s="525">
        <v>540</v>
      </c>
      <c r="F20" s="526">
        <v>270</v>
      </c>
      <c r="G20" s="527">
        <v>83</v>
      </c>
      <c r="H20" s="527"/>
      <c r="I20" s="527">
        <f t="shared" si="0"/>
        <v>13.833333333333334</v>
      </c>
      <c r="J20" s="527">
        <f t="shared" si="1"/>
        <v>166</v>
      </c>
      <c r="K20" s="527">
        <f t="shared" si="3"/>
        <v>166</v>
      </c>
      <c r="L20" s="536">
        <v>540</v>
      </c>
      <c r="M20" s="527">
        <f t="shared" si="2"/>
        <v>58.5</v>
      </c>
      <c r="N20" s="527">
        <v>0</v>
      </c>
      <c r="O20" s="527">
        <v>117</v>
      </c>
      <c r="P20" s="527">
        <f t="shared" si="4"/>
        <v>283</v>
      </c>
      <c r="Q20" s="527"/>
      <c r="R20" s="525">
        <v>540</v>
      </c>
    </row>
    <row r="21" spans="3:21" ht="21.95" customHeight="1" x14ac:dyDescent="0.25">
      <c r="C21" s="528" t="s">
        <v>71</v>
      </c>
      <c r="D21" s="529">
        <f>SUM(D4:D20)</f>
        <v>357379.40320000006</v>
      </c>
      <c r="E21" s="521">
        <f>SUM(E4:E20)</f>
        <v>315827</v>
      </c>
      <c r="F21" s="516">
        <f>SUM(F4:F20)</f>
        <v>154614</v>
      </c>
      <c r="G21" s="522">
        <f>SUM(G4:G20)</f>
        <v>150348</v>
      </c>
      <c r="H21" s="522"/>
      <c r="I21" s="522">
        <f t="shared" ref="I21:P21" si="5">SUM(I4:I20)</f>
        <v>25057.999999999996</v>
      </c>
      <c r="J21" s="522">
        <f t="shared" si="5"/>
        <v>300696</v>
      </c>
      <c r="K21" s="522">
        <f t="shared" si="5"/>
        <v>320335.54799999995</v>
      </c>
      <c r="L21" s="535">
        <f t="shared" si="5"/>
        <v>386159.57200000004</v>
      </c>
      <c r="M21" s="522">
        <f t="shared" si="5"/>
        <v>27709.5</v>
      </c>
      <c r="N21" s="522">
        <f t="shared" si="5"/>
        <v>43075</v>
      </c>
      <c r="O21" s="522">
        <f t="shared" si="5"/>
        <v>55419</v>
      </c>
      <c r="P21" s="522">
        <f t="shared" si="5"/>
        <v>351295</v>
      </c>
      <c r="Q21" s="522"/>
      <c r="R21" s="516">
        <f>SUM(R4:R20)</f>
        <v>352796.95</v>
      </c>
      <c r="T21" s="530">
        <v>318474</v>
      </c>
      <c r="U21" s="531">
        <f>+R21-T21</f>
        <v>34322.950000000012</v>
      </c>
    </row>
    <row r="22" spans="3:21" ht="21.95" customHeight="1" x14ac:dyDescent="0.25">
      <c r="C22" s="517"/>
      <c r="E22" s="516"/>
      <c r="F22" s="516"/>
      <c r="G22" s="516"/>
      <c r="H22" s="516"/>
      <c r="I22" s="516"/>
      <c r="J22" s="516"/>
      <c r="K22" s="516"/>
      <c r="L22" s="519"/>
      <c r="M22" s="516"/>
      <c r="N22" s="516"/>
      <c r="O22" s="516"/>
      <c r="P22" s="516"/>
      <c r="Q22" s="516"/>
    </row>
    <row r="23" spans="3:21" ht="21.95" customHeight="1" x14ac:dyDescent="0.25"/>
    <row r="30" spans="3:21" x14ac:dyDescent="0.25">
      <c r="C30" s="514" t="s">
        <v>540</v>
      </c>
      <c r="D30" s="530">
        <f>+'DSO staff consolidated '!F77</f>
        <v>345460.00320000004</v>
      </c>
    </row>
    <row r="31" spans="3:21" x14ac:dyDescent="0.25">
      <c r="C31" s="514" t="s">
        <v>541</v>
      </c>
      <c r="D31" s="530">
        <f>-'DSO staff consolidated '!F64</f>
        <v>-9000</v>
      </c>
    </row>
    <row r="32" spans="3:21" x14ac:dyDescent="0.25">
      <c r="C32" s="514" t="s">
        <v>542</v>
      </c>
      <c r="D32" s="537">
        <f>+'DSO staff consolidated '!F627</f>
        <v>18000</v>
      </c>
    </row>
    <row r="33" spans="3:11" x14ac:dyDescent="0.25">
      <c r="C33" s="514" t="s">
        <v>543</v>
      </c>
      <c r="D33" s="530">
        <f>SUM(D30:D32)</f>
        <v>354460.00320000004</v>
      </c>
    </row>
    <row r="48" spans="3:11" x14ac:dyDescent="0.25">
      <c r="I48" s="514" t="s">
        <v>553</v>
      </c>
      <c r="K48" s="516"/>
    </row>
    <row r="49" spans="8:11" x14ac:dyDescent="0.25">
      <c r="H49" s="514" t="s">
        <v>554</v>
      </c>
      <c r="J49" s="514" t="s">
        <v>558</v>
      </c>
      <c r="K49" s="516">
        <v>350000</v>
      </c>
    </row>
    <row r="50" spans="8:11" ht="29.25" x14ac:dyDescent="0.25">
      <c r="J50" s="514" t="s">
        <v>559</v>
      </c>
      <c r="K50" s="526">
        <v>300000</v>
      </c>
    </row>
    <row r="51" spans="8:11" x14ac:dyDescent="0.25">
      <c r="K51" s="516">
        <f>SUBTOTAL(9,K49:K50)</f>
        <v>650000</v>
      </c>
    </row>
    <row r="52" spans="8:11" x14ac:dyDescent="0.25">
      <c r="K52" s="516"/>
    </row>
    <row r="53" spans="8:11" ht="29.25" x14ac:dyDescent="0.25">
      <c r="H53" s="514" t="s">
        <v>556</v>
      </c>
      <c r="I53" s="514" t="s">
        <v>555</v>
      </c>
      <c r="J53" s="514" t="s">
        <v>565</v>
      </c>
      <c r="K53" s="705">
        <v>8250</v>
      </c>
    </row>
    <row r="54" spans="8:11" ht="29.25" x14ac:dyDescent="0.25">
      <c r="I54" s="514" t="s">
        <v>555</v>
      </c>
      <c r="J54" s="514" t="s">
        <v>562</v>
      </c>
      <c r="K54" s="705">
        <v>47127</v>
      </c>
    </row>
    <row r="55" spans="8:11" ht="29.25" x14ac:dyDescent="0.25">
      <c r="I55" s="514" t="s">
        <v>560</v>
      </c>
      <c r="J55" s="514" t="s">
        <v>561</v>
      </c>
      <c r="K55" s="705">
        <v>55159</v>
      </c>
    </row>
    <row r="56" spans="8:11" x14ac:dyDescent="0.25">
      <c r="J56" s="514" t="s">
        <v>563</v>
      </c>
      <c r="K56" s="705">
        <v>30635</v>
      </c>
    </row>
    <row r="57" spans="8:11" x14ac:dyDescent="0.25">
      <c r="J57" s="514" t="s">
        <v>564</v>
      </c>
      <c r="K57" s="705">
        <v>3100</v>
      </c>
    </row>
    <row r="58" spans="8:11" ht="29.25" x14ac:dyDescent="0.25">
      <c r="J58" s="514" t="s">
        <v>566</v>
      </c>
      <c r="K58" s="706">
        <v>305804</v>
      </c>
    </row>
    <row r="59" spans="8:11" x14ac:dyDescent="0.25">
      <c r="K59" s="516">
        <f>SUBTOTAL(9,K53:K58)</f>
        <v>450075</v>
      </c>
    </row>
    <row r="60" spans="8:11" x14ac:dyDescent="0.25">
      <c r="K60" s="516"/>
    </row>
    <row r="61" spans="8:11" ht="29.25" x14ac:dyDescent="0.25">
      <c r="H61" s="514" t="s">
        <v>557</v>
      </c>
      <c r="I61" s="514" t="s">
        <v>567</v>
      </c>
      <c r="J61" s="514" t="s">
        <v>569</v>
      </c>
      <c r="K61" s="516">
        <v>184740</v>
      </c>
    </row>
    <row r="62" spans="8:11" x14ac:dyDescent="0.25">
      <c r="J62" s="514" t="s">
        <v>568</v>
      </c>
      <c r="K62" s="516">
        <v>203504</v>
      </c>
    </row>
    <row r="63" spans="8:11" x14ac:dyDescent="0.25">
      <c r="J63" s="514" t="s">
        <v>570</v>
      </c>
      <c r="K63" s="516">
        <v>114594</v>
      </c>
    </row>
    <row r="64" spans="8:11" ht="29.25" x14ac:dyDescent="0.25">
      <c r="J64" s="514" t="s">
        <v>571</v>
      </c>
      <c r="K64" s="516">
        <v>29026</v>
      </c>
    </row>
    <row r="65" spans="8:13" x14ac:dyDescent="0.25">
      <c r="J65" s="514" t="s">
        <v>573</v>
      </c>
      <c r="K65" s="516">
        <v>137579</v>
      </c>
    </row>
    <row r="67" spans="8:13" x14ac:dyDescent="0.25">
      <c r="J67" s="728" t="s">
        <v>596</v>
      </c>
      <c r="K67" s="516">
        <v>88449</v>
      </c>
    </row>
    <row r="68" spans="8:13" x14ac:dyDescent="0.25">
      <c r="J68" s="514" t="s">
        <v>572</v>
      </c>
      <c r="K68" s="526">
        <v>25000</v>
      </c>
    </row>
    <row r="69" spans="8:13" x14ac:dyDescent="0.25">
      <c r="K69" s="521">
        <f>SUBTOTAL(9,K61:K68)</f>
        <v>782892</v>
      </c>
    </row>
    <row r="70" spans="8:13" x14ac:dyDescent="0.25">
      <c r="K70" s="516"/>
    </row>
    <row r="71" spans="8:13" ht="29.25" x14ac:dyDescent="0.25">
      <c r="I71" s="514" t="s">
        <v>555</v>
      </c>
      <c r="J71" s="514" t="s">
        <v>575</v>
      </c>
      <c r="K71" s="516">
        <v>12724</v>
      </c>
    </row>
    <row r="72" spans="8:13" x14ac:dyDescent="0.25">
      <c r="J72" s="514" t="s">
        <v>576</v>
      </c>
      <c r="K72" s="526">
        <v>48000</v>
      </c>
    </row>
    <row r="73" spans="8:13" x14ac:dyDescent="0.25">
      <c r="K73" s="516">
        <f>SUBTOTAL(9,K71:K72)</f>
        <v>60724</v>
      </c>
    </row>
    <row r="74" spans="8:13" x14ac:dyDescent="0.25">
      <c r="K74" s="516"/>
    </row>
    <row r="75" spans="8:13" ht="14.25" x14ac:dyDescent="0.2">
      <c r="J75" s="731"/>
      <c r="K75" s="732"/>
      <c r="L75" s="710" t="s">
        <v>593</v>
      </c>
      <c r="M75" s="707">
        <f>+K75+K73+K69</f>
        <v>843616</v>
      </c>
    </row>
    <row r="76" spans="8:13" x14ac:dyDescent="0.25">
      <c r="J76" s="731"/>
      <c r="K76" s="732"/>
    </row>
    <row r="77" spans="8:13" x14ac:dyDescent="0.25">
      <c r="K77" s="516"/>
    </row>
    <row r="78" spans="8:13" x14ac:dyDescent="0.25">
      <c r="H78" s="514" t="s">
        <v>577</v>
      </c>
      <c r="K78" s="516"/>
    </row>
    <row r="79" spans="8:13" x14ac:dyDescent="0.25">
      <c r="I79" s="514" t="s">
        <v>578</v>
      </c>
      <c r="J79" s="514" t="s">
        <v>574</v>
      </c>
      <c r="K79" s="516">
        <v>57700</v>
      </c>
    </row>
    <row r="80" spans="8:13" ht="29.25" x14ac:dyDescent="0.25">
      <c r="I80" s="514" t="s">
        <v>555</v>
      </c>
      <c r="J80" s="514" t="s">
        <v>579</v>
      </c>
      <c r="K80" s="516">
        <v>180805</v>
      </c>
    </row>
    <row r="81" spans="9:14" x14ac:dyDescent="0.25">
      <c r="J81" s="514" t="s">
        <v>580</v>
      </c>
      <c r="K81" s="516">
        <v>60000</v>
      </c>
    </row>
    <row r="82" spans="9:14" ht="18" customHeight="1" x14ac:dyDescent="0.25">
      <c r="J82" s="514" t="s">
        <v>581</v>
      </c>
      <c r="K82" s="516">
        <v>154940</v>
      </c>
    </row>
    <row r="83" spans="9:14" x14ac:dyDescent="0.25">
      <c r="J83" s="514" t="s">
        <v>582</v>
      </c>
      <c r="K83" s="516">
        <v>38600</v>
      </c>
      <c r="N83" s="516">
        <f>+K51</f>
        <v>650000</v>
      </c>
    </row>
    <row r="84" spans="9:14" x14ac:dyDescent="0.25">
      <c r="I84" s="514" t="s">
        <v>583</v>
      </c>
      <c r="J84" s="514" t="s">
        <v>584</v>
      </c>
      <c r="K84" s="516">
        <v>29897</v>
      </c>
      <c r="N84" s="516">
        <f>+K59</f>
        <v>450075</v>
      </c>
    </row>
    <row r="85" spans="9:14" x14ac:dyDescent="0.25">
      <c r="J85" s="514" t="s">
        <v>585</v>
      </c>
      <c r="K85" s="526">
        <v>54450</v>
      </c>
      <c r="N85" s="516">
        <f>+M75</f>
        <v>843616</v>
      </c>
    </row>
    <row r="86" spans="9:14" ht="29.25" x14ac:dyDescent="0.25">
      <c r="I86" s="514" t="s">
        <v>590</v>
      </c>
      <c r="J86" s="729" t="s">
        <v>591</v>
      </c>
      <c r="K86" s="730">
        <v>27500</v>
      </c>
      <c r="N86" s="526">
        <f>+K87</f>
        <v>603892</v>
      </c>
    </row>
    <row r="87" spans="9:14" x14ac:dyDescent="0.25">
      <c r="K87" s="516">
        <f>SUBTOTAL(9,K79:K86)</f>
        <v>603892</v>
      </c>
      <c r="N87" s="516">
        <f>SUM(N83:N86)</f>
        <v>2547583</v>
      </c>
    </row>
    <row r="88" spans="9:14" x14ac:dyDescent="0.25">
      <c r="K88" s="516"/>
    </row>
    <row r="89" spans="9:14" x14ac:dyDescent="0.25">
      <c r="I89" s="514" t="s">
        <v>586</v>
      </c>
      <c r="J89" s="514" t="s">
        <v>595</v>
      </c>
      <c r="K89" s="516">
        <f>SUBTOTAL(9,K49:K87)</f>
        <v>2547583</v>
      </c>
    </row>
    <row r="90" spans="9:14" x14ac:dyDescent="0.25">
      <c r="J90" s="514" t="s">
        <v>587</v>
      </c>
      <c r="K90" s="516">
        <f>+'DSO staff consolidated '!E49</f>
        <v>2547583</v>
      </c>
    </row>
    <row r="91" spans="9:14" x14ac:dyDescent="0.25">
      <c r="J91" s="514" t="s">
        <v>588</v>
      </c>
      <c r="K91" s="707">
        <f>+K90-K89</f>
        <v>0</v>
      </c>
      <c r="L91" s="518" t="s">
        <v>589</v>
      </c>
      <c r="M91" s="707">
        <f>+N87-K89</f>
        <v>0</v>
      </c>
    </row>
  </sheetData>
  <mergeCells count="2">
    <mergeCell ref="E2:G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6663-FE1D-4E72-AAD6-C11A054E4A2D}">
  <dimension ref="A2:W66"/>
  <sheetViews>
    <sheetView showGridLines="0" topLeftCell="E41" zoomScale="80" zoomScaleNormal="80" workbookViewId="0">
      <selection activeCell="K81" sqref="K81"/>
    </sheetView>
  </sheetViews>
  <sheetFormatPr defaultColWidth="9.140625" defaultRowHeight="15" x14ac:dyDescent="0.2"/>
  <cols>
    <col min="1" max="1" width="18.7109375" style="466" customWidth="1"/>
    <col min="2" max="2" width="53.140625" style="466" customWidth="1"/>
    <col min="3" max="15" width="18.7109375" style="466" customWidth="1"/>
    <col min="16" max="16384" width="9.140625" style="466"/>
  </cols>
  <sheetData>
    <row r="2" spans="2:22" ht="15.75" thickBot="1" x14ac:dyDescent="0.25"/>
    <row r="3" spans="2:22" ht="43.5" customHeight="1" thickBot="1" x14ac:dyDescent="0.25">
      <c r="B3" s="725" t="s">
        <v>503</v>
      </c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7"/>
    </row>
    <row r="5" spans="2:22" ht="15.75" thickBot="1" x14ac:dyDescent="0.25"/>
    <row r="6" spans="2:22" ht="15.75" x14ac:dyDescent="0.25">
      <c r="B6" s="472"/>
      <c r="C6" s="479">
        <v>2025</v>
      </c>
      <c r="D6" s="480">
        <v>2024</v>
      </c>
    </row>
    <row r="7" spans="2:22" x14ac:dyDescent="0.2">
      <c r="B7" s="473" t="s">
        <v>504</v>
      </c>
      <c r="C7" s="474">
        <f>+'DSO staff consolidated '!D49</f>
        <v>2918298</v>
      </c>
      <c r="D7" s="475">
        <f>+'DSO staff consolidated '!M49</f>
        <v>3140175</v>
      </c>
    </row>
    <row r="8" spans="2:22" x14ac:dyDescent="0.2">
      <c r="B8" s="473" t="s">
        <v>505</v>
      </c>
      <c r="C8" s="474">
        <f>+'DSO staff consolidated '!E49</f>
        <v>2547583</v>
      </c>
      <c r="D8" s="475">
        <f>+'DSO staff consolidated '!N49</f>
        <v>2518034</v>
      </c>
    </row>
    <row r="9" spans="2:22" x14ac:dyDescent="0.2">
      <c r="B9" s="473" t="s">
        <v>506</v>
      </c>
      <c r="C9" s="468">
        <f>+'DSO staff consolidated '!F49</f>
        <v>774386</v>
      </c>
      <c r="D9" s="481">
        <f>+'DSO staff consolidated '!O49</f>
        <v>946551</v>
      </c>
    </row>
    <row r="10" spans="2:22" ht="15.75" thickBot="1" x14ac:dyDescent="0.25">
      <c r="B10" s="476" t="s">
        <v>507</v>
      </c>
      <c r="C10" s="477">
        <f>+'DSO staff consolidated '!G49</f>
        <v>6240267</v>
      </c>
      <c r="D10" s="478">
        <f>+'DSO staff consolidated '!P49</f>
        <v>6604760</v>
      </c>
    </row>
    <row r="12" spans="2:22" x14ac:dyDescent="0.2">
      <c r="B12" s="466" t="s">
        <v>499</v>
      </c>
      <c r="C12" s="469">
        <f>+C9+C8+C7</f>
        <v>6240267</v>
      </c>
      <c r="D12" s="469">
        <f>+D9+D8+D7</f>
        <v>6604760</v>
      </c>
    </row>
    <row r="15" spans="2:22" x14ac:dyDescent="0.2">
      <c r="D15" s="469">
        <f>+D12-C12</f>
        <v>364493</v>
      </c>
    </row>
    <row r="28" spans="2:23" ht="15.75" thickBot="1" x14ac:dyDescent="0.25"/>
    <row r="29" spans="2:23" ht="47.25" customHeight="1" thickBot="1" x14ac:dyDescent="0.4">
      <c r="B29" s="725" t="s">
        <v>502</v>
      </c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  <c r="V29" s="727"/>
      <c r="W29" s="471"/>
    </row>
    <row r="34" spans="1:4" ht="15.75" thickBot="1" x14ac:dyDescent="0.25"/>
    <row r="35" spans="1:4" ht="24" customHeight="1" x14ac:dyDescent="0.25">
      <c r="A35" s="472"/>
      <c r="B35" s="723" t="s">
        <v>498</v>
      </c>
      <c r="C35" s="723"/>
      <c r="D35" s="724"/>
    </row>
    <row r="36" spans="1:4" ht="20.100000000000001" customHeight="1" x14ac:dyDescent="0.25">
      <c r="A36" s="473"/>
      <c r="B36" s="482" t="s">
        <v>493</v>
      </c>
      <c r="C36" s="483">
        <v>2025</v>
      </c>
      <c r="D36" s="484">
        <v>2024</v>
      </c>
    </row>
    <row r="37" spans="1:4" ht="20.100000000000001" customHeight="1" x14ac:dyDescent="0.2">
      <c r="A37" s="473"/>
      <c r="B37" s="466" t="s">
        <v>592</v>
      </c>
      <c r="C37" s="708">
        <f>+'DSO staff consolidated '!G54</f>
        <v>700000</v>
      </c>
      <c r="D37" s="709">
        <f>+'DSO staff consolidated '!P54</f>
        <v>700000</v>
      </c>
    </row>
    <row r="38" spans="1:4" ht="20.100000000000001" customHeight="1" x14ac:dyDescent="0.2">
      <c r="A38" s="473">
        <v>1</v>
      </c>
      <c r="B38" s="466" t="s">
        <v>513</v>
      </c>
      <c r="C38" s="474">
        <f>+'DSO staff consolidated '!G315</f>
        <v>3882887.0902</v>
      </c>
      <c r="D38" s="475">
        <f>+'DSO staff consolidated '!P315</f>
        <v>3802979</v>
      </c>
    </row>
    <row r="39" spans="1:4" ht="20.100000000000001" customHeight="1" x14ac:dyDescent="0.2">
      <c r="A39" s="473">
        <v>2</v>
      </c>
      <c r="B39" s="466" t="s">
        <v>492</v>
      </c>
      <c r="C39" s="474">
        <f>+'DSO staff consolidated '!G501</f>
        <v>646282</v>
      </c>
      <c r="D39" s="475">
        <f>+'DSO staff consolidated '!P501</f>
        <v>393379</v>
      </c>
    </row>
    <row r="40" spans="1:4" ht="20.100000000000001" customHeight="1" x14ac:dyDescent="0.2">
      <c r="A40" s="473">
        <v>3</v>
      </c>
      <c r="B40" s="466" t="s">
        <v>494</v>
      </c>
      <c r="C40" s="474">
        <f>+'DSO staff consolidated '!G557</f>
        <v>459347.57874999999</v>
      </c>
      <c r="D40" s="475">
        <f>+'DSO staff consolidated '!P557</f>
        <v>386404</v>
      </c>
    </row>
    <row r="41" spans="1:4" ht="20.100000000000001" customHeight="1" x14ac:dyDescent="0.2">
      <c r="A41" s="473">
        <v>4</v>
      </c>
      <c r="B41" s="466" t="s">
        <v>495</v>
      </c>
      <c r="C41" s="474">
        <f>+'DSO staff consolidated '!G612</f>
        <v>345600</v>
      </c>
      <c r="D41" s="475">
        <f>+'DSO staff consolidated '!P612</f>
        <v>767650</v>
      </c>
    </row>
    <row r="42" spans="1:4" ht="20.100000000000001" customHeight="1" x14ac:dyDescent="0.2">
      <c r="A42" s="473">
        <v>5</v>
      </c>
      <c r="B42" s="466" t="s">
        <v>496</v>
      </c>
      <c r="C42" s="474">
        <f>+'DSO staff consolidated '!G654</f>
        <v>136960</v>
      </c>
      <c r="D42" s="475">
        <f>+'DSO staff consolidated '!P654</f>
        <v>199023</v>
      </c>
    </row>
    <row r="43" spans="1:4" ht="20.100000000000001" customHeight="1" x14ac:dyDescent="0.2">
      <c r="A43" s="488">
        <v>6</v>
      </c>
      <c r="B43" s="489" t="s">
        <v>497</v>
      </c>
      <c r="C43" s="468">
        <f>+'DSO staff consolidated '!G784</f>
        <v>69190</v>
      </c>
      <c r="D43" s="481">
        <f>+'DSO staff consolidated '!P784</f>
        <v>355325</v>
      </c>
    </row>
    <row r="44" spans="1:4" ht="20.100000000000001" customHeight="1" thickBot="1" x14ac:dyDescent="0.25">
      <c r="A44" s="476"/>
      <c r="B44" s="485" t="s">
        <v>508</v>
      </c>
      <c r="C44" s="486">
        <f>SUM(C37:C43)</f>
        <v>6240266.6689499998</v>
      </c>
      <c r="D44" s="487">
        <f>SUM(D37:D43)</f>
        <v>6604760</v>
      </c>
    </row>
    <row r="45" spans="1:4" ht="20.100000000000001" customHeight="1" x14ac:dyDescent="0.2">
      <c r="B45" s="466" t="s">
        <v>499</v>
      </c>
      <c r="C45" s="467">
        <f>+'DSO staff consolidated '!G786</f>
        <v>5540266.6689499998</v>
      </c>
      <c r="D45" s="467">
        <f>+'DSO staff consolidated '!P786</f>
        <v>5904760</v>
      </c>
    </row>
    <row r="46" spans="1:4" ht="20.100000000000001" customHeight="1" x14ac:dyDescent="0.2">
      <c r="B46" s="466" t="s">
        <v>500</v>
      </c>
      <c r="C46" s="469">
        <f>+C44-C45</f>
        <v>700000</v>
      </c>
      <c r="D46" s="469">
        <f>+D44-D45</f>
        <v>700000</v>
      </c>
    </row>
    <row r="52" spans="1:4" ht="15.75" thickBot="1" x14ac:dyDescent="0.25"/>
    <row r="53" spans="1:4" ht="15.75" x14ac:dyDescent="0.25">
      <c r="A53" s="472"/>
      <c r="B53" s="723" t="s">
        <v>501</v>
      </c>
      <c r="C53" s="723"/>
      <c r="D53" s="724"/>
    </row>
    <row r="54" spans="1:4" ht="20.100000000000001" customHeight="1" x14ac:dyDescent="0.25">
      <c r="A54" s="473"/>
      <c r="B54" s="482" t="s">
        <v>493</v>
      </c>
      <c r="C54" s="483">
        <v>2025</v>
      </c>
      <c r="D54" s="484">
        <v>2024</v>
      </c>
    </row>
    <row r="55" spans="1:4" ht="20.100000000000001" customHeight="1" x14ac:dyDescent="0.2">
      <c r="A55" s="473"/>
      <c r="B55" s="466" t="s">
        <v>592</v>
      </c>
      <c r="C55" s="708">
        <f>+C37</f>
        <v>700000</v>
      </c>
      <c r="D55" s="709">
        <f>+D37</f>
        <v>700000</v>
      </c>
    </row>
    <row r="56" spans="1:4" ht="20.100000000000001" customHeight="1" x14ac:dyDescent="0.2">
      <c r="A56" s="473">
        <v>1</v>
      </c>
      <c r="B56" s="466" t="s">
        <v>514</v>
      </c>
      <c r="C56" s="474">
        <f>+'DSO staff consolidated '!G315-'DSO staff consolidated '!G313-'DSO staff consolidated '!G299-'DSO staff consolidated '!G291-'DSO staff consolidated '!G275-'DSO staff consolidated '!G264-'DSO staff consolidated '!G249</f>
        <v>2969521.1622000001</v>
      </c>
      <c r="D56" s="475">
        <f>+'DSO staff consolidated '!P315-'DSO staff consolidated '!P299-'DSO staff consolidated '!P313-'DSO staff consolidated '!P291-'DSO staff consolidated '!P275-'DSO staff consolidated '!P264-'DSO staff consolidated '!P249-'DSO staff consolidated '!P275</f>
        <v>3034876</v>
      </c>
    </row>
    <row r="57" spans="1:4" ht="20.100000000000001" customHeight="1" x14ac:dyDescent="0.2">
      <c r="A57" s="473">
        <v>2</v>
      </c>
      <c r="B57" s="466" t="s">
        <v>492</v>
      </c>
      <c r="C57" s="474">
        <f>+'DSO staff consolidated '!G264+'DSO staff consolidated '!G275+'DSO staff consolidated '!G291+'DSO staff consolidated '!G299+'DSO staff consolidated '!G501+'DSO staff consolidated '!G249</f>
        <v>1334991.2659999998</v>
      </c>
      <c r="D57" s="475">
        <f>+'DSO staff consolidated '!P501+'DSO staff consolidated '!P249+'DSO staff consolidated '!P264+'DSO staff consolidated '!P275+'DSO staff consolidated '!P291+'DSO staff consolidated '!P299+0</f>
        <v>925913</v>
      </c>
    </row>
    <row r="58" spans="1:4" ht="20.100000000000001" customHeight="1" x14ac:dyDescent="0.2">
      <c r="A58" s="473">
        <v>3</v>
      </c>
      <c r="B58" s="466" t="s">
        <v>494</v>
      </c>
      <c r="C58" s="490">
        <f>+'DSO staff consolidated '!G557</f>
        <v>459347.57874999999</v>
      </c>
      <c r="D58" s="491">
        <f>+'DSO staff consolidated '!P557</f>
        <v>386404</v>
      </c>
    </row>
    <row r="59" spans="1:4" ht="20.100000000000001" customHeight="1" x14ac:dyDescent="0.2">
      <c r="A59" s="473">
        <v>4</v>
      </c>
      <c r="B59" s="466" t="s">
        <v>495</v>
      </c>
      <c r="C59" s="490">
        <f>+'DSO staff consolidated '!G612</f>
        <v>345600</v>
      </c>
      <c r="D59" s="491">
        <f>+'DSO staff consolidated '!P612</f>
        <v>767650</v>
      </c>
    </row>
    <row r="60" spans="1:4" ht="20.100000000000001" customHeight="1" x14ac:dyDescent="0.2">
      <c r="A60" s="473">
        <v>5</v>
      </c>
      <c r="B60" s="466" t="s">
        <v>496</v>
      </c>
      <c r="C60" s="490">
        <f>+'DSO staff consolidated '!G654</f>
        <v>136960</v>
      </c>
      <c r="D60" s="491">
        <f>+'DSO staff consolidated '!P654</f>
        <v>199023</v>
      </c>
    </row>
    <row r="61" spans="1:4" ht="20.100000000000001" customHeight="1" x14ac:dyDescent="0.2">
      <c r="A61" s="488">
        <v>6</v>
      </c>
      <c r="B61" s="489" t="s">
        <v>497</v>
      </c>
      <c r="C61" s="468">
        <f>+'DSO staff consolidated '!G784+'DSO staff consolidated '!G313</f>
        <v>293846.66200000001</v>
      </c>
      <c r="D61" s="481">
        <f>+'DSO staff consolidated '!P313+'DSO staff consolidated '!P784</f>
        <v>590894</v>
      </c>
    </row>
    <row r="62" spans="1:4" ht="20.100000000000001" customHeight="1" thickBot="1" x14ac:dyDescent="0.25">
      <c r="A62" s="476"/>
      <c r="B62" s="485" t="s">
        <v>508</v>
      </c>
      <c r="C62" s="477">
        <f>SUM(C55:C61)</f>
        <v>6240266.6689500008</v>
      </c>
      <c r="D62" s="478">
        <f>SUM(D55:D61)</f>
        <v>6604760</v>
      </c>
    </row>
    <row r="63" spans="1:4" ht="20.100000000000001" customHeight="1" x14ac:dyDescent="0.2">
      <c r="B63" s="466" t="s">
        <v>499</v>
      </c>
      <c r="C63" s="469">
        <f>+C45</f>
        <v>5540266.6689499998</v>
      </c>
      <c r="D63" s="469">
        <f>+D45</f>
        <v>5904760</v>
      </c>
    </row>
    <row r="64" spans="1:4" ht="20.100000000000001" customHeight="1" x14ac:dyDescent="0.2">
      <c r="B64" s="466" t="s">
        <v>500</v>
      </c>
      <c r="C64" s="469">
        <f>+C62-C63</f>
        <v>700000.00000000093</v>
      </c>
      <c r="D64" s="469">
        <f>+D62-D63</f>
        <v>700000</v>
      </c>
    </row>
    <row r="65" spans="4:4" ht="20.100000000000001" customHeight="1" x14ac:dyDescent="0.2"/>
    <row r="66" spans="4:4" x14ac:dyDescent="0.2">
      <c r="D66" s="467"/>
    </row>
  </sheetData>
  <mergeCells count="4">
    <mergeCell ref="B35:D35"/>
    <mergeCell ref="B53:D53"/>
    <mergeCell ref="B3:V3"/>
    <mergeCell ref="B29:V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FDEF1D9225A4A8EFB53BFEA4F0BCA" ma:contentTypeVersion="5" ma:contentTypeDescription="Create a new document." ma:contentTypeScope="" ma:versionID="d177b1a8496b87a9e7b55a1127f5cbf2">
  <xsd:schema xmlns:xsd="http://www.w3.org/2001/XMLSchema" xmlns:xs="http://www.w3.org/2001/XMLSchema" xmlns:p="http://schemas.microsoft.com/office/2006/metadata/properties" xmlns:ns2="cfff2734-3ae9-4b7d-b7d7-35362f9abbc2" targetNamespace="http://schemas.microsoft.com/office/2006/metadata/properties" ma:root="true" ma:fieldsID="c4a7702337181a9a334245ebb3cec934" ns2:_="">
    <xsd:import namespace="cfff2734-3ae9-4b7d-b7d7-35362f9abb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f2734-3ae9-4b7d-b7d7-35362f9ab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156DD-781F-4DA5-A17B-F76515F24E93}">
  <ds:schemaRefs>
    <ds:schemaRef ds:uri="cfff2734-3ae9-4b7d-b7d7-35362f9abbc2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E895BAB-C961-433C-821B-75A6C0905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BDE4C-170D-4941-89D5-2A0D424E5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f2734-3ae9-4b7d-b7d7-35362f9abb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DSO staff consolidated </vt:lpstr>
      <vt:lpstr>Sheet1</vt:lpstr>
      <vt:lpstr>Graphs</vt:lpstr>
      <vt:lpstr>'DSO staff consolidated '!Print_Area</vt:lpstr>
      <vt:lpstr>'DSO staff consolidated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Perme</dc:creator>
  <cp:keywords/>
  <dc:description/>
  <cp:lastModifiedBy>Bradley Sturm</cp:lastModifiedBy>
  <cp:revision/>
  <cp:lastPrinted>2024-07-01T18:31:17Z</cp:lastPrinted>
  <dcterms:created xsi:type="dcterms:W3CDTF">2023-08-26T23:47:00Z</dcterms:created>
  <dcterms:modified xsi:type="dcterms:W3CDTF">2024-10-07T17:25:48Z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0x010100CBCFDEF1D9225A4A8EFB53BFEA4F0BCA</vt:lpwstr>
  </property>
</Properties>
</file>